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rwi\Desktop\zzzz Portofolio\free-resources\team-tasks\"/>
    </mc:Choice>
  </mc:AlternateContent>
  <xr:revisionPtr revIDLastSave="0" documentId="13_ncr:1_{2D2CFA61-0566-4FC1-9A9F-2B42E815EF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Overview" sheetId="1" r:id="rId1"/>
    <sheet name="Tasks" sheetId="2" r:id="rId2"/>
    <sheet name="Team" sheetId="3" r:id="rId3"/>
    <sheet name="Weekly Email" sheetId="4" r:id="rId4"/>
    <sheet name="Settings" sheetId="5" r:id="rId5"/>
  </sheets>
  <definedNames>
    <definedName name="Capacity">Settings!$C$10</definedName>
    <definedName name="DueSoonDays">Settings!$C$9</definedName>
    <definedName name="EffortTable">Settings!$E$6:$F$8</definedName>
    <definedName name="EmailLines">_xlfn.ANCHORARRAY('Weekly Email'!$C$7)</definedName>
    <definedName name="Holidays">Settings!$E$14:$E$27</definedName>
    <definedName name="Members">Settings!$B$14:$B$23</definedName>
    <definedName name="ReportDate">Settings!$C$7</definedName>
    <definedName name="Sender">Settings!$C$6</definedName>
    <definedName name="TeamBlockedPts">OFFSET(Team!$N$8,0,0,TeamCount,1)</definedName>
    <definedName name="TeamCount">MAX(1,COUNTIF(Settings!$B$14:$B$23,"?*"))</definedName>
    <definedName name="TeamLatePts">OFFSET(Team!$M$8,0,0,TeamCount,1)</definedName>
    <definedName name="TeamName">Settings!$C$5</definedName>
    <definedName name="TeamNames">OFFSET(Team!$B$8,0,0,TeamCount,1)</definedName>
    <definedName name="TeamOpenPts">OFFSET(Team!$D$8,0,0,TeamCount,1)</definedName>
    <definedName name="TeamOtherPts">OFFSET(Team!$P$8,0,0,TeamCount,1)</definedName>
    <definedName name="TeamSoonPts">OFFSET(Team!$O$8,0,0,TeamCount,1)</definedName>
    <definedName name="WeekendCode">Settings!$K$5</definedName>
    <definedName name="WeekendName">Settings!$C$8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5" i="2" l="1" a="1"/>
  <c r="P336" i="2" a="1"/>
  <c r="P337" i="2" a="1"/>
  <c r="P338" i="2" a="1"/>
  <c r="P339" i="2" a="1"/>
  <c r="P340" i="2" a="1"/>
  <c r="P341" i="2" a="1"/>
  <c r="P342" i="2" a="1"/>
  <c r="P343" i="2" a="1"/>
  <c r="P344" i="2" a="1"/>
  <c r="P345" i="2" a="1"/>
  <c r="P346" i="2" a="1"/>
  <c r="P347" i="2" a="1"/>
  <c r="P348" i="2" a="1"/>
  <c r="P349" i="2" a="1"/>
  <c r="P350" i="2" a="1"/>
  <c r="P351" i="2" a="1"/>
  <c r="P352" i="2" a="1"/>
  <c r="P353" i="2" a="1"/>
  <c r="P354" i="2" a="1"/>
  <c r="P355" i="2" a="1"/>
  <c r="P356" i="2" a="1"/>
  <c r="P357" i="2" a="1"/>
  <c r="P358" i="2" a="1"/>
  <c r="P359" i="2" a="1"/>
  <c r="P360" i="2" a="1"/>
  <c r="P361" i="2" a="1"/>
  <c r="P362" i="2" a="1"/>
  <c r="P363" i="2" a="1"/>
  <c r="P364" i="2" a="1"/>
  <c r="P365" i="2" a="1"/>
  <c r="P366" i="2" a="1"/>
  <c r="P367" i="2" a="1"/>
  <c r="P368" i="2" a="1"/>
  <c r="P369" i="2" a="1"/>
  <c r="P370" i="2" a="1"/>
  <c r="P371" i="2" a="1"/>
  <c r="P372" i="2" a="1"/>
  <c r="P373" i="2" a="1"/>
  <c r="P374" i="2" a="1"/>
  <c r="P375" i="2" a="1"/>
  <c r="P376" i="2" a="1"/>
  <c r="P377" i="2" a="1"/>
  <c r="P378" i="2" a="1"/>
  <c r="P379" i="2" a="1"/>
  <c r="P380" i="2" a="1"/>
  <c r="P381" i="2" a="1"/>
  <c r="P382" i="2" a="1"/>
  <c r="P383" i="2" a="1"/>
  <c r="P384" i="2" a="1"/>
  <c r="P385" i="2" a="1"/>
  <c r="P386" i="2" a="1"/>
  <c r="P387" i="2" a="1"/>
  <c r="P388" i="2" a="1"/>
  <c r="P389" i="2" a="1"/>
  <c r="P390" i="2" a="1"/>
  <c r="P391" i="2" a="1"/>
  <c r="P392" i="2" a="1"/>
  <c r="P393" i="2" a="1"/>
  <c r="P394" i="2" a="1"/>
  <c r="P395" i="2" a="1"/>
  <c r="P396" i="2" a="1"/>
  <c r="P397" i="2" a="1"/>
  <c r="P398" i="2" a="1"/>
  <c r="P399" i="2" a="1"/>
  <c r="P400" i="2" a="1"/>
  <c r="P401" i="2" a="1"/>
  <c r="P402" i="2" a="1"/>
  <c r="P403" i="2" a="1"/>
  <c r="P404" i="2" a="1"/>
  <c r="P405" i="2" a="1"/>
  <c r="P406" i="2" a="1"/>
  <c r="P407" i="2" a="1"/>
  <c r="P408" i="2" a="1"/>
  <c r="P409" i="2" a="1"/>
  <c r="P410" i="2" a="1"/>
  <c r="P411" i="2" a="1"/>
  <c r="P412" i="2" a="1"/>
  <c r="P413" i="2" a="1"/>
  <c r="P414" i="2" a="1"/>
  <c r="P415" i="2" a="1"/>
  <c r="P605" i="2" a="1"/>
  <c r="P606" i="2" a="1"/>
  <c r="P607" i="2" a="1"/>
  <c r="P608" i="2" a="1"/>
  <c r="P609" i="2" a="1"/>
  <c r="P610" i="2" a="1"/>
  <c r="P611" i="2" a="1"/>
  <c r="P612" i="2" a="1"/>
  <c r="P613" i="2" a="1"/>
  <c r="P614" i="2" a="1"/>
  <c r="P615" i="2" a="1"/>
  <c r="P616" i="2" a="1"/>
  <c r="P617" i="2" a="1"/>
  <c r="P618" i="2" a="1"/>
  <c r="P619" i="2" a="1"/>
  <c r="P620" i="2" a="1"/>
  <c r="P621" i="2" a="1"/>
  <c r="P622" i="2" a="1"/>
  <c r="P623" i="2" a="1"/>
  <c r="P624" i="2" a="1"/>
  <c r="P625" i="2" a="1"/>
  <c r="P626" i="2" a="1"/>
  <c r="P627" i="2" a="1"/>
  <c r="P628" i="2" a="1"/>
  <c r="P629" i="2" a="1"/>
  <c r="P630" i="2" a="1"/>
  <c r="P631" i="2" a="1"/>
  <c r="P632" i="2" a="1"/>
  <c r="P633" i="2" a="1"/>
  <c r="P634" i="2" a="1"/>
  <c r="P635" i="2" a="1"/>
  <c r="P636" i="2" a="1"/>
  <c r="P637" i="2" a="1"/>
  <c r="P638" i="2" a="1"/>
  <c r="P639" i="2" a="1"/>
  <c r="P640" i="2" a="1"/>
  <c r="P641" i="2" a="1"/>
  <c r="P642" i="2" a="1"/>
  <c r="P643" i="2" a="1"/>
  <c r="P644" i="2" a="1"/>
  <c r="P645" i="2" a="1"/>
  <c r="P646" i="2" a="1"/>
  <c r="P647" i="2" a="1"/>
  <c r="P648" i="2" a="1"/>
  <c r="P649" i="2" a="1"/>
  <c r="P650" i="2" a="1"/>
  <c r="P651" i="2" a="1"/>
  <c r="P652" i="2" a="1"/>
  <c r="P653" i="2" a="1"/>
  <c r="P654" i="2" a="1"/>
  <c r="P655" i="2" a="1"/>
  <c r="P656" i="2" a="1"/>
  <c r="P657" i="2" a="1"/>
  <c r="P658" i="2" a="1"/>
  <c r="P659" i="2" a="1"/>
  <c r="P660" i="2" a="1"/>
  <c r="P661" i="2" a="1"/>
  <c r="P662" i="2" a="1"/>
  <c r="P663" i="2" a="1"/>
  <c r="P664" i="2" a="1"/>
  <c r="P665" i="2" a="1"/>
  <c r="P666" i="2" a="1"/>
  <c r="P667" i="2" a="1"/>
  <c r="P668" i="2" a="1"/>
  <c r="P669" i="2" a="1"/>
  <c r="P670" i="2" a="1"/>
  <c r="P671" i="2" a="1"/>
  <c r="P672" i="2" a="1"/>
  <c r="P673" i="2" a="1"/>
  <c r="P674" i="2" a="1"/>
  <c r="P675" i="2" a="1"/>
  <c r="P676" i="2" a="1"/>
  <c r="P677" i="2" a="1"/>
  <c r="P678" i="2" a="1"/>
  <c r="P679" i="2" a="1"/>
  <c r="P680" i="2" a="1"/>
  <c r="P681" i="2" a="1"/>
  <c r="P682" i="2" a="1"/>
  <c r="P683" i="2" a="1"/>
  <c r="P684" i="2" a="1"/>
  <c r="P685" i="2" a="1"/>
  <c r="P686" i="2" a="1"/>
  <c r="P687" i="2" a="1"/>
  <c r="P688" i="2" a="1"/>
  <c r="P689" i="2" a="1"/>
  <c r="P690" i="2" a="1"/>
  <c r="P691" i="2" a="1"/>
  <c r="P692" i="2" a="1"/>
  <c r="P693" i="2" a="1"/>
  <c r="P694" i="2" a="1"/>
  <c r="P695" i="2" a="1"/>
  <c r="P696" i="2" a="1"/>
  <c r="P697" i="2" a="1"/>
  <c r="P698" i="2" a="1"/>
  <c r="P699" i="2" a="1"/>
  <c r="P700" i="2" a="1"/>
  <c r="P701" i="2" a="1"/>
  <c r="P702" i="2" a="1"/>
  <c r="P703" i="2" a="1"/>
  <c r="P704" i="2" a="1"/>
  <c r="P705" i="2" a="1"/>
  <c r="P706" i="2" a="1"/>
  <c r="P707" i="2" a="1"/>
  <c r="P708" i="2" a="1"/>
  <c r="P709" i="2" a="1"/>
  <c r="P710" i="2" a="1"/>
  <c r="P711" i="2" a="1"/>
  <c r="P712" i="2" a="1"/>
  <c r="P713" i="2" a="1"/>
  <c r="P714" i="2" a="1"/>
  <c r="P715" i="2" a="1"/>
  <c r="P716" i="2" a="1"/>
  <c r="P717" i="2" a="1"/>
  <c r="P718" i="2" a="1"/>
  <c r="P719" i="2" a="1"/>
  <c r="P720" i="2" a="1"/>
  <c r="P721" i="2" a="1"/>
  <c r="P722" i="2" a="1"/>
  <c r="P723" i="2" a="1"/>
  <c r="P724" i="2" a="1"/>
  <c r="P725" i="2" a="1"/>
  <c r="P726" i="2" a="1"/>
  <c r="P727" i="2" a="1"/>
  <c r="P728" i="2" a="1"/>
  <c r="P729" i="2" a="1"/>
  <c r="P730" i="2" a="1"/>
  <c r="P731" i="2" a="1"/>
  <c r="P732" i="2" a="1"/>
  <c r="P733" i="2" a="1"/>
  <c r="P734" i="2" a="1"/>
  <c r="P735" i="2" a="1"/>
  <c r="P736" i="2" a="1"/>
  <c r="P737" i="2" a="1"/>
  <c r="P738" i="2" a="1"/>
  <c r="P739" i="2" a="1"/>
  <c r="P740" i="2" a="1"/>
  <c r="P741" i="2" a="1"/>
  <c r="P742" i="2" a="1"/>
  <c r="P743" i="2" a="1"/>
  <c r="P744" i="2" a="1"/>
  <c r="P745" i="2" a="1"/>
  <c r="P746" i="2" a="1"/>
  <c r="P747" i="2" a="1"/>
  <c r="P748" i="2" a="1"/>
  <c r="P749" i="2" a="1"/>
  <c r="P750" i="2" a="1"/>
  <c r="P751" i="2" a="1"/>
  <c r="P752" i="2" a="1"/>
  <c r="P753" i="2" a="1"/>
  <c r="P754" i="2" a="1"/>
  <c r="P755" i="2" a="1"/>
  <c r="P756" i="2" a="1"/>
  <c r="P757" i="2" a="1"/>
  <c r="P758" i="2" a="1"/>
  <c r="P759" i="2" a="1"/>
  <c r="P760" i="2" a="1"/>
  <c r="P761" i="2" a="1"/>
  <c r="P762" i="2" a="1"/>
  <c r="P763" i="2" a="1"/>
  <c r="P764" i="2" a="1"/>
  <c r="P765" i="2" a="1"/>
  <c r="P766" i="2" a="1"/>
  <c r="P767" i="2" a="1"/>
  <c r="P768" i="2" a="1"/>
  <c r="P769" i="2" a="1"/>
  <c r="P770" i="2" a="1"/>
  <c r="P771" i="2" a="1"/>
  <c r="P772" i="2" a="1"/>
  <c r="P773" i="2" a="1"/>
  <c r="P774" i="2" a="1"/>
  <c r="P775" i="2" a="1"/>
  <c r="P776" i="2" a="1"/>
  <c r="P777" i="2" a="1"/>
  <c r="P778" i="2" a="1"/>
  <c r="P779" i="2" a="1"/>
  <c r="P780" i="2" a="1"/>
  <c r="P781" i="2" a="1"/>
  <c r="P782" i="2" a="1"/>
  <c r="P783" i="2" a="1"/>
  <c r="P784" i="2" a="1"/>
  <c r="P785" i="2" a="1"/>
  <c r="P786" i="2" a="1"/>
  <c r="P787" i="2" a="1"/>
  <c r="P788" i="2" a="1"/>
  <c r="P789" i="2" a="1"/>
  <c r="P790" i="2" a="1"/>
  <c r="P791" i="2" a="1"/>
  <c r="P792" i="2" a="1"/>
  <c r="P793" i="2" a="1"/>
  <c r="P794" i="2" a="1"/>
  <c r="P795" i="2" a="1"/>
  <c r="P796" i="2" a="1"/>
  <c r="P797" i="2" a="1"/>
  <c r="P798" i="2" a="1"/>
  <c r="P799" i="2" a="1"/>
  <c r="P800" i="2" a="1"/>
  <c r="P801" i="2" a="1"/>
  <c r="P802" i="2" a="1"/>
  <c r="P803" i="2" a="1"/>
  <c r="P804" i="2" a="1"/>
  <c r="P805" i="2" a="1"/>
  <c r="P806" i="2" a="1"/>
  <c r="P807" i="2" a="1"/>
  <c r="P808" i="2" a="1"/>
  <c r="P809" i="2" a="1"/>
  <c r="P810" i="2" a="1"/>
  <c r="P811" i="2" a="1"/>
  <c r="K9" i="2"/>
  <c r="P9" i="2" s="1" a="1"/>
  <c r="K21" i="2"/>
  <c r="P21" i="2" s="1" a="1"/>
  <c r="K22" i="2"/>
  <c r="P22" i="2" s="1" a="1"/>
  <c r="K23" i="2"/>
  <c r="P23" i="2" s="1" a="1"/>
  <c r="K24" i="2"/>
  <c r="P24" i="2" s="1" a="1"/>
  <c r="K25" i="2"/>
  <c r="P25" i="2" s="1" a="1"/>
  <c r="K26" i="2"/>
  <c r="P26" i="2" s="1" a="1"/>
  <c r="K27" i="2"/>
  <c r="P27" i="2" s="1" a="1"/>
  <c r="K28" i="2"/>
  <c r="P28" i="2" s="1" a="1"/>
  <c r="K29" i="2"/>
  <c r="P29" i="2" s="1" a="1"/>
  <c r="K30" i="2"/>
  <c r="P30" i="2" s="1" a="1"/>
  <c r="K31" i="2"/>
  <c r="P31" i="2" s="1" a="1"/>
  <c r="K32" i="2"/>
  <c r="P32" i="2" s="1" a="1"/>
  <c r="K33" i="2"/>
  <c r="P33" i="2" s="1" a="1"/>
  <c r="K34" i="2"/>
  <c r="P34" i="2" s="1" a="1"/>
  <c r="K35" i="2"/>
  <c r="P35" i="2" s="1" a="1"/>
  <c r="K36" i="2"/>
  <c r="P36" i="2" s="1" a="1"/>
  <c r="K37" i="2"/>
  <c r="P37" i="2" s="1" a="1"/>
  <c r="K38" i="2"/>
  <c r="P38" i="2" s="1" a="1"/>
  <c r="K39" i="2"/>
  <c r="P39" i="2" s="1" a="1"/>
  <c r="K40" i="2"/>
  <c r="P40" i="2" s="1" a="1"/>
  <c r="K41" i="2"/>
  <c r="P41" i="2" s="1" a="1"/>
  <c r="K42" i="2"/>
  <c r="P42" i="2" s="1" a="1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R335" i="2" s="1" a="1"/>
  <c r="K336" i="2"/>
  <c r="R336" i="2" s="1" a="1"/>
  <c r="K337" i="2"/>
  <c r="R337" i="2" s="1" a="1"/>
  <c r="K338" i="2"/>
  <c r="R338" i="2" s="1" a="1"/>
  <c r="K339" i="2"/>
  <c r="R339" i="2" s="1" a="1"/>
  <c r="K340" i="2"/>
  <c r="R340" i="2" s="1" a="1"/>
  <c r="K341" i="2"/>
  <c r="R341" i="2" s="1" a="1"/>
  <c r="K342" i="2"/>
  <c r="R342" i="2" s="1" a="1"/>
  <c r="K343" i="2"/>
  <c r="R343" i="2" s="1" a="1"/>
  <c r="K344" i="2"/>
  <c r="R344" i="2" s="1" a="1"/>
  <c r="K345" i="2"/>
  <c r="R345" i="2" s="1" a="1"/>
  <c r="K346" i="2"/>
  <c r="R346" i="2" s="1" a="1"/>
  <c r="K347" i="2"/>
  <c r="R347" i="2" s="1" a="1"/>
  <c r="K348" i="2"/>
  <c r="R348" i="2" s="1" a="1"/>
  <c r="K349" i="2"/>
  <c r="R349" i="2" s="1" a="1"/>
  <c r="K350" i="2"/>
  <c r="R350" i="2" s="1" a="1"/>
  <c r="K351" i="2"/>
  <c r="R351" i="2" s="1" a="1"/>
  <c r="K352" i="2"/>
  <c r="R352" i="2" s="1" a="1"/>
  <c r="K353" i="2"/>
  <c r="R353" i="2" s="1" a="1"/>
  <c r="K354" i="2"/>
  <c r="R354" i="2" s="1" a="1"/>
  <c r="K355" i="2"/>
  <c r="R355" i="2" s="1" a="1"/>
  <c r="K356" i="2"/>
  <c r="R356" i="2" s="1" a="1"/>
  <c r="K357" i="2"/>
  <c r="R357" i="2" s="1" a="1"/>
  <c r="K358" i="2"/>
  <c r="R358" i="2" s="1" a="1"/>
  <c r="K359" i="2"/>
  <c r="R359" i="2" s="1" a="1"/>
  <c r="K360" i="2"/>
  <c r="R360" i="2" s="1" a="1"/>
  <c r="K361" i="2"/>
  <c r="R361" i="2" s="1" a="1"/>
  <c r="K362" i="2"/>
  <c r="R362" i="2" s="1" a="1"/>
  <c r="K363" i="2"/>
  <c r="R363" i="2" s="1" a="1"/>
  <c r="K364" i="2"/>
  <c r="R364" i="2" s="1" a="1"/>
  <c r="K365" i="2"/>
  <c r="R365" i="2" s="1" a="1"/>
  <c r="K366" i="2"/>
  <c r="R366" i="2" s="1" a="1"/>
  <c r="K367" i="2"/>
  <c r="R367" i="2" s="1" a="1"/>
  <c r="K368" i="2"/>
  <c r="R368" i="2" s="1" a="1"/>
  <c r="K369" i="2"/>
  <c r="R369" i="2" s="1" a="1"/>
  <c r="K370" i="2"/>
  <c r="R370" i="2" s="1" a="1"/>
  <c r="K371" i="2"/>
  <c r="R371" i="2" s="1" a="1"/>
  <c r="K372" i="2"/>
  <c r="R372" i="2" s="1" a="1"/>
  <c r="K373" i="2"/>
  <c r="R373" i="2" s="1" a="1"/>
  <c r="K374" i="2"/>
  <c r="R374" i="2" s="1" a="1"/>
  <c r="K375" i="2"/>
  <c r="R375" i="2" s="1" a="1"/>
  <c r="K376" i="2"/>
  <c r="R376" i="2" s="1" a="1"/>
  <c r="K377" i="2"/>
  <c r="R377" i="2" s="1" a="1"/>
  <c r="K378" i="2"/>
  <c r="R378" i="2" s="1" a="1"/>
  <c r="K379" i="2"/>
  <c r="R379" i="2" s="1" a="1"/>
  <c r="K380" i="2"/>
  <c r="R380" i="2" s="1" a="1"/>
  <c r="K381" i="2"/>
  <c r="R381" i="2" s="1" a="1"/>
  <c r="K382" i="2"/>
  <c r="R382" i="2" s="1" a="1"/>
  <c r="K383" i="2"/>
  <c r="R383" i="2" s="1" a="1"/>
  <c r="K384" i="2"/>
  <c r="R384" i="2" s="1" a="1"/>
  <c r="K385" i="2"/>
  <c r="R385" i="2" s="1" a="1"/>
  <c r="K386" i="2"/>
  <c r="R386" i="2" s="1" a="1"/>
  <c r="K387" i="2"/>
  <c r="R387" i="2" s="1" a="1"/>
  <c r="K388" i="2"/>
  <c r="R388" i="2" s="1" a="1"/>
  <c r="K389" i="2"/>
  <c r="R389" i="2" s="1" a="1"/>
  <c r="K390" i="2"/>
  <c r="R390" i="2" s="1" a="1"/>
  <c r="K391" i="2"/>
  <c r="R391" i="2" s="1" a="1"/>
  <c r="K392" i="2"/>
  <c r="R392" i="2" s="1" a="1"/>
  <c r="K393" i="2"/>
  <c r="R393" i="2" s="1" a="1"/>
  <c r="K394" i="2"/>
  <c r="R394" i="2" s="1" a="1"/>
  <c r="K395" i="2"/>
  <c r="R395" i="2" s="1" a="1"/>
  <c r="K396" i="2"/>
  <c r="R396" i="2" s="1" a="1"/>
  <c r="K397" i="2"/>
  <c r="R397" i="2" s="1" a="1"/>
  <c r="K398" i="2"/>
  <c r="R398" i="2" s="1" a="1"/>
  <c r="K399" i="2"/>
  <c r="R399" i="2" s="1" a="1"/>
  <c r="K400" i="2"/>
  <c r="R400" i="2" s="1" a="1"/>
  <c r="K401" i="2"/>
  <c r="R401" i="2" s="1" a="1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P416" i="2" s="1" a="1"/>
  <c r="K417" i="2"/>
  <c r="P417" i="2" s="1" a="1"/>
  <c r="K418" i="2"/>
  <c r="P418" i="2" s="1" a="1"/>
  <c r="K419" i="2"/>
  <c r="P419" i="2" s="1" a="1"/>
  <c r="K420" i="2"/>
  <c r="P420" i="2" s="1" a="1"/>
  <c r="K421" i="2"/>
  <c r="P421" i="2" s="1" a="1"/>
  <c r="K422" i="2"/>
  <c r="P422" i="2" s="1" a="1"/>
  <c r="K423" i="2"/>
  <c r="P423" i="2" s="1" a="1"/>
  <c r="K424" i="2"/>
  <c r="P424" i="2" s="1" a="1"/>
  <c r="K425" i="2"/>
  <c r="P425" i="2" s="1" a="1"/>
  <c r="K426" i="2"/>
  <c r="P426" i="2" s="1" a="1"/>
  <c r="K427" i="2"/>
  <c r="P427" i="2" s="1" a="1"/>
  <c r="K428" i="2"/>
  <c r="P428" i="2" s="1" a="1"/>
  <c r="K429" i="2"/>
  <c r="P429" i="2" s="1" a="1"/>
  <c r="K430" i="2"/>
  <c r="P430" i="2" s="1" a="1"/>
  <c r="K431" i="2"/>
  <c r="P431" i="2" s="1" a="1"/>
  <c r="K432" i="2"/>
  <c r="P432" i="2" s="1" a="1"/>
  <c r="K433" i="2"/>
  <c r="P433" i="2" s="1" a="1"/>
  <c r="K434" i="2"/>
  <c r="P434" i="2" s="1" a="1"/>
  <c r="K435" i="2"/>
  <c r="P435" i="2" s="1" a="1"/>
  <c r="K436" i="2"/>
  <c r="P436" i="2" s="1" a="1"/>
  <c r="K437" i="2"/>
  <c r="P437" i="2" s="1" a="1"/>
  <c r="K438" i="2"/>
  <c r="P438" i="2" s="1" a="1"/>
  <c r="K439" i="2"/>
  <c r="P439" i="2" s="1" a="1"/>
  <c r="K440" i="2"/>
  <c r="P440" i="2" s="1" a="1"/>
  <c r="K441" i="2"/>
  <c r="P441" i="2" s="1" a="1"/>
  <c r="K442" i="2"/>
  <c r="P442" i="2" s="1" a="1"/>
  <c r="K443" i="2"/>
  <c r="P443" i="2" s="1" a="1"/>
  <c r="K444" i="2"/>
  <c r="P444" i="2" s="1" a="1"/>
  <c r="K445" i="2"/>
  <c r="P445" i="2" s="1" a="1"/>
  <c r="K446" i="2"/>
  <c r="P446" i="2" s="1" a="1"/>
  <c r="K447" i="2"/>
  <c r="P447" i="2" s="1" a="1"/>
  <c r="K448" i="2"/>
  <c r="P448" i="2" s="1" a="1"/>
  <c r="K449" i="2"/>
  <c r="P449" i="2" s="1" a="1"/>
  <c r="K450" i="2"/>
  <c r="P450" i="2" s="1" a="1"/>
  <c r="K451" i="2"/>
  <c r="P451" i="2" s="1" a="1"/>
  <c r="K452" i="2"/>
  <c r="P452" i="2" s="1" a="1"/>
  <c r="K453" i="2"/>
  <c r="P453" i="2" s="1" a="1"/>
  <c r="K454" i="2"/>
  <c r="P454" i="2" s="1" a="1"/>
  <c r="K455" i="2"/>
  <c r="P455" i="2" s="1" a="1"/>
  <c r="K456" i="2"/>
  <c r="P456" i="2" s="1" a="1"/>
  <c r="K457" i="2"/>
  <c r="P457" i="2" s="1" a="1"/>
  <c r="K458" i="2"/>
  <c r="P458" i="2" s="1" a="1"/>
  <c r="K459" i="2"/>
  <c r="P459" i="2" s="1" a="1"/>
  <c r="K460" i="2"/>
  <c r="P460" i="2" s="1" a="1"/>
  <c r="K461" i="2"/>
  <c r="P461" i="2" s="1" a="1"/>
  <c r="K462" i="2"/>
  <c r="P462" i="2" s="1" a="1"/>
  <c r="K463" i="2"/>
  <c r="P463" i="2" s="1" a="1"/>
  <c r="K464" i="2"/>
  <c r="P464" i="2" s="1" a="1"/>
  <c r="K465" i="2"/>
  <c r="P465" i="2" s="1" a="1"/>
  <c r="K466" i="2"/>
  <c r="P466" i="2" s="1" a="1"/>
  <c r="K467" i="2"/>
  <c r="P467" i="2" s="1" a="1"/>
  <c r="K468" i="2"/>
  <c r="P468" i="2" s="1" a="1"/>
  <c r="K469" i="2"/>
  <c r="P469" i="2" s="1" a="1"/>
  <c r="K470" i="2"/>
  <c r="P470" i="2" s="1" a="1"/>
  <c r="K471" i="2"/>
  <c r="P471" i="2" s="1" a="1"/>
  <c r="K472" i="2"/>
  <c r="P472" i="2" s="1" a="1"/>
  <c r="K473" i="2"/>
  <c r="P473" i="2" s="1" a="1"/>
  <c r="K474" i="2"/>
  <c r="P474" i="2" s="1" a="1"/>
  <c r="K475" i="2"/>
  <c r="P475" i="2" s="1" a="1"/>
  <c r="K476" i="2"/>
  <c r="P476" i="2" s="1" a="1"/>
  <c r="K477" i="2"/>
  <c r="P477" i="2" s="1" a="1"/>
  <c r="K478" i="2"/>
  <c r="P478" i="2" s="1" a="1"/>
  <c r="K479" i="2"/>
  <c r="P479" i="2" s="1" a="1"/>
  <c r="K480" i="2"/>
  <c r="P480" i="2" s="1" a="1"/>
  <c r="K481" i="2"/>
  <c r="P481" i="2" s="1" a="1"/>
  <c r="K482" i="2"/>
  <c r="P482" i="2" s="1" a="1"/>
  <c r="K483" i="2"/>
  <c r="P483" i="2" s="1" a="1"/>
  <c r="K484" i="2"/>
  <c r="P484" i="2" s="1" a="1"/>
  <c r="K485" i="2"/>
  <c r="P485" i="2" s="1" a="1"/>
  <c r="K486" i="2"/>
  <c r="P486" i="2" s="1" a="1"/>
  <c r="K487" i="2"/>
  <c r="P487" i="2" s="1" a="1"/>
  <c r="K488" i="2"/>
  <c r="P488" i="2" s="1" a="1"/>
  <c r="K489" i="2"/>
  <c r="P489" i="2" s="1" a="1"/>
  <c r="K490" i="2"/>
  <c r="P490" i="2" s="1" a="1"/>
  <c r="K491" i="2"/>
  <c r="P491" i="2" s="1" a="1"/>
  <c r="K492" i="2"/>
  <c r="P492" i="2" s="1" a="1"/>
  <c r="K493" i="2"/>
  <c r="P493" i="2" s="1" a="1"/>
  <c r="K494" i="2"/>
  <c r="P494" i="2" s="1" a="1"/>
  <c r="K495" i="2"/>
  <c r="P495" i="2" s="1" a="1"/>
  <c r="K496" i="2"/>
  <c r="P496" i="2" s="1" a="1"/>
  <c r="K497" i="2"/>
  <c r="P497" i="2" s="1" a="1"/>
  <c r="K498" i="2"/>
  <c r="P498" i="2" s="1" a="1"/>
  <c r="K499" i="2"/>
  <c r="P499" i="2" s="1" a="1"/>
  <c r="K500" i="2"/>
  <c r="P500" i="2" s="1" a="1"/>
  <c r="K501" i="2"/>
  <c r="P501" i="2" s="1" a="1"/>
  <c r="K502" i="2"/>
  <c r="P502" i="2" s="1" a="1"/>
  <c r="K503" i="2"/>
  <c r="P503" i="2" s="1" a="1"/>
  <c r="K504" i="2"/>
  <c r="P504" i="2" s="1" a="1"/>
  <c r="K505" i="2"/>
  <c r="P505" i="2" s="1" a="1"/>
  <c r="K506" i="2"/>
  <c r="P506" i="2" s="1" a="1"/>
  <c r="K507" i="2"/>
  <c r="P507" i="2" s="1" a="1"/>
  <c r="K508" i="2"/>
  <c r="P508" i="2" s="1" a="1"/>
  <c r="K509" i="2"/>
  <c r="P509" i="2" s="1" a="1"/>
  <c r="K510" i="2"/>
  <c r="P510" i="2" s="1" a="1"/>
  <c r="K511" i="2"/>
  <c r="P511" i="2" s="1" a="1"/>
  <c r="K512" i="2"/>
  <c r="P512" i="2" s="1" a="1"/>
  <c r="K513" i="2"/>
  <c r="P513" i="2" s="1" a="1"/>
  <c r="K514" i="2"/>
  <c r="P514" i="2" s="1" a="1"/>
  <c r="K515" i="2"/>
  <c r="P515" i="2" s="1" a="1"/>
  <c r="K516" i="2"/>
  <c r="P516" i="2" s="1" a="1"/>
  <c r="K517" i="2"/>
  <c r="P517" i="2" s="1" a="1"/>
  <c r="K518" i="2"/>
  <c r="P518" i="2" s="1" a="1"/>
  <c r="K519" i="2"/>
  <c r="P519" i="2" s="1" a="1"/>
  <c r="K520" i="2"/>
  <c r="P520" i="2" s="1" a="1"/>
  <c r="K521" i="2"/>
  <c r="P521" i="2" s="1" a="1"/>
  <c r="K522" i="2"/>
  <c r="P522" i="2" s="1" a="1"/>
  <c r="K523" i="2"/>
  <c r="P523" i="2" s="1" a="1"/>
  <c r="K524" i="2"/>
  <c r="P524" i="2" s="1" a="1"/>
  <c r="K525" i="2"/>
  <c r="P525" i="2" s="1" a="1"/>
  <c r="K526" i="2"/>
  <c r="P526" i="2" s="1" a="1"/>
  <c r="K527" i="2"/>
  <c r="P527" i="2" s="1" a="1"/>
  <c r="K528" i="2"/>
  <c r="P528" i="2" s="1" a="1"/>
  <c r="K529" i="2"/>
  <c r="P529" i="2" s="1" a="1"/>
  <c r="K530" i="2"/>
  <c r="P530" i="2" s="1" a="1"/>
  <c r="K531" i="2"/>
  <c r="P531" i="2" s="1" a="1"/>
  <c r="K532" i="2"/>
  <c r="P532" i="2" s="1" a="1"/>
  <c r="K533" i="2"/>
  <c r="P533" i="2" s="1" a="1"/>
  <c r="K534" i="2"/>
  <c r="P534" i="2" s="1" a="1"/>
  <c r="K535" i="2"/>
  <c r="P535" i="2" s="1" a="1"/>
  <c r="K536" i="2"/>
  <c r="P536" i="2" s="1" a="1"/>
  <c r="K537" i="2"/>
  <c r="P537" i="2" s="1" a="1"/>
  <c r="K538" i="2"/>
  <c r="P538" i="2" s="1" a="1"/>
  <c r="K539" i="2"/>
  <c r="P539" i="2" s="1" a="1"/>
  <c r="K540" i="2"/>
  <c r="P540" i="2" s="1" a="1"/>
  <c r="K541" i="2"/>
  <c r="P541" i="2" s="1" a="1"/>
  <c r="K542" i="2"/>
  <c r="P542" i="2" s="1" a="1"/>
  <c r="K543" i="2"/>
  <c r="P543" i="2" s="1" a="1"/>
  <c r="K544" i="2"/>
  <c r="P544" i="2" s="1" a="1"/>
  <c r="K545" i="2"/>
  <c r="P545" i="2" s="1" a="1"/>
  <c r="K546" i="2"/>
  <c r="P546" i="2" s="1" a="1"/>
  <c r="K547" i="2"/>
  <c r="P547" i="2" s="1" a="1"/>
  <c r="K548" i="2"/>
  <c r="P548" i="2" s="1" a="1"/>
  <c r="K549" i="2"/>
  <c r="P549" i="2" s="1" a="1"/>
  <c r="K550" i="2"/>
  <c r="P550" i="2" s="1" a="1"/>
  <c r="K551" i="2"/>
  <c r="P551" i="2" s="1" a="1"/>
  <c r="K552" i="2"/>
  <c r="P552" i="2" s="1" a="1"/>
  <c r="K553" i="2"/>
  <c r="P553" i="2" s="1" a="1"/>
  <c r="K554" i="2"/>
  <c r="P554" i="2" s="1" a="1"/>
  <c r="K555" i="2"/>
  <c r="P555" i="2" s="1" a="1"/>
  <c r="K556" i="2"/>
  <c r="P556" i="2" s="1" a="1"/>
  <c r="K557" i="2"/>
  <c r="P557" i="2" s="1" a="1"/>
  <c r="K558" i="2"/>
  <c r="P558" i="2" s="1" a="1"/>
  <c r="K559" i="2"/>
  <c r="P559" i="2" s="1" a="1"/>
  <c r="K560" i="2"/>
  <c r="P560" i="2" s="1" a="1"/>
  <c r="K561" i="2"/>
  <c r="P561" i="2" s="1" a="1"/>
  <c r="K562" i="2"/>
  <c r="P562" i="2" s="1" a="1"/>
  <c r="K563" i="2"/>
  <c r="P563" i="2" s="1" a="1"/>
  <c r="K564" i="2"/>
  <c r="P564" i="2" s="1" a="1"/>
  <c r="K565" i="2"/>
  <c r="P565" i="2" s="1" a="1"/>
  <c r="K566" i="2"/>
  <c r="P566" i="2" s="1" a="1"/>
  <c r="K567" i="2"/>
  <c r="P567" i="2" s="1" a="1"/>
  <c r="K568" i="2"/>
  <c r="P568" i="2" s="1" a="1"/>
  <c r="K569" i="2"/>
  <c r="P569" i="2" s="1" a="1"/>
  <c r="K570" i="2"/>
  <c r="P570" i="2" s="1" a="1"/>
  <c r="K571" i="2"/>
  <c r="P571" i="2" s="1" a="1"/>
  <c r="K572" i="2"/>
  <c r="P572" i="2" s="1" a="1"/>
  <c r="K573" i="2"/>
  <c r="P573" i="2" s="1" a="1"/>
  <c r="K574" i="2"/>
  <c r="P574" i="2" s="1" a="1"/>
  <c r="K575" i="2"/>
  <c r="P575" i="2" s="1" a="1"/>
  <c r="K576" i="2"/>
  <c r="P576" i="2" s="1" a="1"/>
  <c r="K577" i="2"/>
  <c r="P577" i="2" s="1" a="1"/>
  <c r="K578" i="2"/>
  <c r="P578" i="2" s="1" a="1"/>
  <c r="K579" i="2"/>
  <c r="P579" i="2" s="1" a="1"/>
  <c r="K580" i="2"/>
  <c r="P580" i="2" s="1" a="1"/>
  <c r="K581" i="2"/>
  <c r="P581" i="2" s="1" a="1"/>
  <c r="K582" i="2"/>
  <c r="P582" i="2" s="1" a="1"/>
  <c r="K583" i="2"/>
  <c r="P583" i="2" s="1" a="1"/>
  <c r="K584" i="2"/>
  <c r="P584" i="2" s="1" a="1"/>
  <c r="K585" i="2"/>
  <c r="P585" i="2" s="1" a="1"/>
  <c r="K586" i="2"/>
  <c r="P586" i="2" s="1" a="1"/>
  <c r="K587" i="2"/>
  <c r="P587" i="2" s="1" a="1"/>
  <c r="K588" i="2"/>
  <c r="P588" i="2" s="1" a="1"/>
  <c r="K589" i="2"/>
  <c r="P589" i="2" s="1" a="1"/>
  <c r="K590" i="2"/>
  <c r="P590" i="2" s="1" a="1"/>
  <c r="K591" i="2"/>
  <c r="P591" i="2" s="1" a="1"/>
  <c r="K592" i="2"/>
  <c r="P592" i="2" s="1" a="1"/>
  <c r="K593" i="2"/>
  <c r="P593" i="2" s="1" a="1"/>
  <c r="K594" i="2"/>
  <c r="P594" i="2" s="1" a="1"/>
  <c r="K595" i="2"/>
  <c r="P595" i="2" s="1" a="1"/>
  <c r="K596" i="2"/>
  <c r="P596" i="2" s="1" a="1"/>
  <c r="K597" i="2"/>
  <c r="P597" i="2" s="1" a="1"/>
  <c r="K598" i="2"/>
  <c r="P598" i="2" s="1" a="1"/>
  <c r="K599" i="2"/>
  <c r="P599" i="2" s="1" a="1"/>
  <c r="K600" i="2"/>
  <c r="P600" i="2" s="1" a="1"/>
  <c r="K601" i="2"/>
  <c r="P601" i="2" s="1" a="1"/>
  <c r="K602" i="2"/>
  <c r="P602" i="2" s="1" a="1"/>
  <c r="K603" i="2"/>
  <c r="P603" i="2" s="1" a="1"/>
  <c r="K604" i="2"/>
  <c r="P604" i="2" s="1" a="1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P812" i="2" s="1" a="1"/>
  <c r="K813" i="2"/>
  <c r="P813" i="2" s="1" a="1"/>
  <c r="K814" i="2"/>
  <c r="P814" i="2" s="1" a="1"/>
  <c r="K815" i="2"/>
  <c r="P815" i="2" s="1" a="1"/>
  <c r="K816" i="2"/>
  <c r="P816" i="2" s="1" a="1"/>
  <c r="K817" i="2"/>
  <c r="P817" i="2" s="1" a="1"/>
  <c r="K818" i="2"/>
  <c r="P818" i="2" s="1" a="1"/>
  <c r="K819" i="2"/>
  <c r="P819" i="2" s="1" a="1"/>
  <c r="K820" i="2"/>
  <c r="P820" i="2" s="1" a="1"/>
  <c r="K821" i="2"/>
  <c r="P821" i="2" s="1" a="1"/>
  <c r="K822" i="2"/>
  <c r="P822" i="2" s="1" a="1"/>
  <c r="K823" i="2"/>
  <c r="P823" i="2" s="1" a="1"/>
  <c r="K824" i="2"/>
  <c r="P824" i="2" s="1" a="1"/>
  <c r="K825" i="2"/>
  <c r="P825" i="2" s="1" a="1"/>
  <c r="K826" i="2"/>
  <c r="P826" i="2" s="1" a="1"/>
  <c r="K827" i="2"/>
  <c r="P827" i="2" s="1" a="1"/>
  <c r="K828" i="2"/>
  <c r="P828" i="2" s="1" a="1"/>
  <c r="K829" i="2"/>
  <c r="P829" i="2" s="1" a="1"/>
  <c r="K830" i="2"/>
  <c r="P830" i="2" s="1" a="1"/>
  <c r="K831" i="2"/>
  <c r="P831" i="2" s="1" a="1"/>
  <c r="K832" i="2"/>
  <c r="P832" i="2" s="1" a="1"/>
  <c r="K833" i="2"/>
  <c r="P833" i="2" s="1" a="1"/>
  <c r="K834" i="2"/>
  <c r="P834" i="2" s="1" a="1"/>
  <c r="K835" i="2"/>
  <c r="P835" i="2" s="1" a="1"/>
  <c r="K836" i="2"/>
  <c r="P836" i="2" s="1" a="1"/>
  <c r="K837" i="2"/>
  <c r="P837" i="2" s="1" a="1"/>
  <c r="K838" i="2"/>
  <c r="P838" i="2" s="1" a="1"/>
  <c r="K839" i="2"/>
  <c r="P839" i="2" s="1" a="1"/>
  <c r="K840" i="2"/>
  <c r="P840" i="2" s="1" a="1"/>
  <c r="K841" i="2"/>
  <c r="P841" i="2" s="1" a="1"/>
  <c r="K842" i="2"/>
  <c r="P842" i="2" s="1" a="1"/>
  <c r="K843" i="2"/>
  <c r="P843" i="2" s="1" a="1"/>
  <c r="K844" i="2"/>
  <c r="P844" i="2" s="1" a="1"/>
  <c r="K845" i="2"/>
  <c r="P845" i="2" s="1" a="1"/>
  <c r="K846" i="2"/>
  <c r="P846" i="2" s="1" a="1"/>
  <c r="K847" i="2"/>
  <c r="P847" i="2" s="1" a="1"/>
  <c r="K848" i="2"/>
  <c r="P848" i="2" s="1" a="1"/>
  <c r="K849" i="2"/>
  <c r="P849" i="2" s="1" a="1"/>
  <c r="K850" i="2"/>
  <c r="P850" i="2" s="1" a="1"/>
  <c r="K851" i="2"/>
  <c r="P851" i="2" s="1" a="1"/>
  <c r="K852" i="2"/>
  <c r="P852" i="2" s="1" a="1"/>
  <c r="K853" i="2"/>
  <c r="P853" i="2" s="1" a="1"/>
  <c r="K854" i="2"/>
  <c r="P854" i="2" s="1" a="1"/>
  <c r="K855" i="2"/>
  <c r="P855" i="2" s="1" a="1"/>
  <c r="K856" i="2"/>
  <c r="P856" i="2" s="1" a="1"/>
  <c r="K857" i="2"/>
  <c r="P857" i="2" s="1" a="1"/>
  <c r="K858" i="2"/>
  <c r="P858" i="2" s="1" a="1"/>
  <c r="K859" i="2"/>
  <c r="P859" i="2" s="1" a="1"/>
  <c r="K860" i="2"/>
  <c r="P860" i="2" s="1" a="1"/>
  <c r="K861" i="2"/>
  <c r="P861" i="2" s="1" a="1"/>
  <c r="K862" i="2"/>
  <c r="P862" i="2" s="1" a="1"/>
  <c r="K863" i="2"/>
  <c r="P863" i="2" s="1" a="1"/>
  <c r="K864" i="2"/>
  <c r="P864" i="2" s="1" a="1"/>
  <c r="K865" i="2"/>
  <c r="P865" i="2" s="1" a="1"/>
  <c r="K866" i="2"/>
  <c r="P866" i="2" s="1" a="1"/>
  <c r="K867" i="2"/>
  <c r="P867" i="2" s="1" a="1"/>
  <c r="K868" i="2"/>
  <c r="P868" i="2" s="1" a="1"/>
  <c r="K869" i="2"/>
  <c r="P869" i="2" s="1" a="1"/>
  <c r="K870" i="2"/>
  <c r="P870" i="2" s="1" a="1"/>
  <c r="K871" i="2"/>
  <c r="P871" i="2" s="1" a="1"/>
  <c r="K872" i="2"/>
  <c r="P872" i="2" s="1" a="1"/>
  <c r="K873" i="2"/>
  <c r="P873" i="2" s="1" a="1"/>
  <c r="K874" i="2"/>
  <c r="P874" i="2" s="1" a="1"/>
  <c r="K875" i="2"/>
  <c r="P875" i="2" s="1" a="1"/>
  <c r="K876" i="2"/>
  <c r="P876" i="2" s="1" a="1"/>
  <c r="K877" i="2"/>
  <c r="P877" i="2" s="1" a="1"/>
  <c r="K878" i="2"/>
  <c r="P878" i="2" s="1" a="1"/>
  <c r="K879" i="2"/>
  <c r="P879" i="2" s="1" a="1"/>
  <c r="K880" i="2"/>
  <c r="P880" i="2" s="1" a="1"/>
  <c r="K881" i="2"/>
  <c r="P881" i="2" s="1" a="1"/>
  <c r="K882" i="2"/>
  <c r="P882" i="2" s="1" a="1"/>
  <c r="K883" i="2"/>
  <c r="P883" i="2" s="1" a="1"/>
  <c r="K884" i="2"/>
  <c r="P884" i="2" s="1" a="1"/>
  <c r="K885" i="2"/>
  <c r="P885" i="2" s="1" a="1"/>
  <c r="K886" i="2"/>
  <c r="P886" i="2" s="1" a="1"/>
  <c r="K887" i="2"/>
  <c r="P887" i="2" s="1" a="1"/>
  <c r="K888" i="2"/>
  <c r="P888" i="2" s="1" a="1"/>
  <c r="K889" i="2"/>
  <c r="P889" i="2" s="1" a="1"/>
  <c r="K890" i="2"/>
  <c r="P890" i="2" s="1" a="1"/>
  <c r="K891" i="2"/>
  <c r="P891" i="2" s="1" a="1"/>
  <c r="K892" i="2"/>
  <c r="P892" i="2" s="1" a="1"/>
  <c r="K893" i="2"/>
  <c r="P893" i="2" s="1" a="1"/>
  <c r="K894" i="2"/>
  <c r="P894" i="2" s="1" a="1"/>
  <c r="K895" i="2"/>
  <c r="P895" i="2" s="1" a="1"/>
  <c r="K896" i="2"/>
  <c r="P896" i="2" s="1" a="1"/>
  <c r="K897" i="2"/>
  <c r="P897" i="2" s="1" a="1"/>
  <c r="K898" i="2"/>
  <c r="P898" i="2" s="1" a="1"/>
  <c r="K899" i="2"/>
  <c r="P899" i="2" s="1" a="1"/>
  <c r="K900" i="2"/>
  <c r="P900" i="2" s="1" a="1"/>
  <c r="K901" i="2"/>
  <c r="P901" i="2" s="1" a="1"/>
  <c r="K902" i="2"/>
  <c r="P902" i="2" s="1" a="1"/>
  <c r="K903" i="2"/>
  <c r="P903" i="2" s="1" a="1"/>
  <c r="K904" i="2"/>
  <c r="P904" i="2" s="1" a="1"/>
  <c r="K905" i="2"/>
  <c r="P905" i="2" s="1" a="1"/>
  <c r="K906" i="2"/>
  <c r="P906" i="2" s="1" a="1"/>
  <c r="K907" i="2"/>
  <c r="P907" i="2" s="1" a="1"/>
  <c r="K908" i="2"/>
  <c r="P908" i="2" s="1" a="1"/>
  <c r="K909" i="2"/>
  <c r="P909" i="2" s="1" a="1"/>
  <c r="K910" i="2"/>
  <c r="P910" i="2" s="1" a="1"/>
  <c r="K911" i="2"/>
  <c r="P911" i="2" s="1" a="1"/>
  <c r="K912" i="2"/>
  <c r="P912" i="2" s="1" a="1"/>
  <c r="K913" i="2"/>
  <c r="P913" i="2" s="1" a="1"/>
  <c r="K914" i="2"/>
  <c r="P914" i="2" s="1" a="1"/>
  <c r="K915" i="2"/>
  <c r="P915" i="2" s="1" a="1"/>
  <c r="K916" i="2"/>
  <c r="P916" i="2" s="1" a="1"/>
  <c r="K917" i="2"/>
  <c r="P917" i="2" s="1" a="1"/>
  <c r="K918" i="2"/>
  <c r="P918" i="2" s="1" a="1"/>
  <c r="K919" i="2"/>
  <c r="P919" i="2" s="1" a="1"/>
  <c r="K920" i="2"/>
  <c r="P920" i="2" s="1" a="1"/>
  <c r="K921" i="2"/>
  <c r="P921" i="2" s="1" a="1"/>
  <c r="K922" i="2"/>
  <c r="P922" i="2" s="1" a="1"/>
  <c r="K923" i="2"/>
  <c r="P923" i="2" s="1" a="1"/>
  <c r="K924" i="2"/>
  <c r="P924" i="2" s="1" a="1"/>
  <c r="K925" i="2"/>
  <c r="P925" i="2" s="1" a="1"/>
  <c r="K926" i="2"/>
  <c r="P926" i="2" s="1" a="1"/>
  <c r="K927" i="2"/>
  <c r="P927" i="2" s="1" a="1"/>
  <c r="K928" i="2"/>
  <c r="P928" i="2" s="1" a="1"/>
  <c r="K929" i="2"/>
  <c r="P929" i="2" s="1" a="1"/>
  <c r="K930" i="2"/>
  <c r="P930" i="2" s="1" a="1"/>
  <c r="K931" i="2"/>
  <c r="P931" i="2" s="1" a="1"/>
  <c r="K932" i="2"/>
  <c r="P932" i="2" s="1" a="1"/>
  <c r="K933" i="2"/>
  <c r="P933" i="2" s="1" a="1"/>
  <c r="K934" i="2"/>
  <c r="P934" i="2" s="1" a="1"/>
  <c r="K935" i="2"/>
  <c r="P935" i="2" s="1" a="1"/>
  <c r="K936" i="2"/>
  <c r="P936" i="2" s="1" a="1"/>
  <c r="K937" i="2"/>
  <c r="P937" i="2" s="1" a="1"/>
  <c r="K938" i="2"/>
  <c r="P938" i="2" s="1" a="1"/>
  <c r="K939" i="2"/>
  <c r="P939" i="2" s="1" a="1"/>
  <c r="K940" i="2"/>
  <c r="P940" i="2" s="1" a="1"/>
  <c r="K941" i="2"/>
  <c r="P941" i="2" s="1" a="1"/>
  <c r="K942" i="2"/>
  <c r="P942" i="2" s="1" a="1"/>
  <c r="K943" i="2"/>
  <c r="P943" i="2" s="1" a="1"/>
  <c r="K944" i="2"/>
  <c r="P944" i="2" s="1" a="1"/>
  <c r="K945" i="2"/>
  <c r="P945" i="2" s="1" a="1"/>
  <c r="K946" i="2"/>
  <c r="P946" i="2" s="1" a="1"/>
  <c r="K947" i="2"/>
  <c r="P947" i="2" s="1" a="1"/>
  <c r="K948" i="2"/>
  <c r="P948" i="2" s="1" a="1"/>
  <c r="K949" i="2"/>
  <c r="P949" i="2" s="1" a="1"/>
  <c r="K950" i="2"/>
  <c r="P950" i="2" s="1" a="1"/>
  <c r="K951" i="2"/>
  <c r="P951" i="2" s="1" a="1"/>
  <c r="K952" i="2"/>
  <c r="P952" i="2" s="1" a="1"/>
  <c r="K953" i="2"/>
  <c r="P953" i="2" s="1" a="1"/>
  <c r="K954" i="2"/>
  <c r="P954" i="2" s="1" a="1"/>
  <c r="K955" i="2"/>
  <c r="P955" i="2" s="1" a="1"/>
  <c r="K956" i="2"/>
  <c r="P956" i="2" s="1" a="1"/>
  <c r="K957" i="2"/>
  <c r="P957" i="2" s="1" a="1"/>
  <c r="K958" i="2"/>
  <c r="P958" i="2" s="1" a="1"/>
  <c r="K959" i="2"/>
  <c r="P959" i="2" s="1" a="1"/>
  <c r="K960" i="2"/>
  <c r="P960" i="2" s="1" a="1"/>
  <c r="K961" i="2"/>
  <c r="P961" i="2" s="1" a="1"/>
  <c r="K962" i="2"/>
  <c r="P962" i="2" s="1" a="1"/>
  <c r="K963" i="2"/>
  <c r="P963" i="2" s="1" a="1"/>
  <c r="K964" i="2"/>
  <c r="P964" i="2" s="1" a="1"/>
  <c r="K965" i="2"/>
  <c r="P965" i="2" s="1" a="1"/>
  <c r="K966" i="2"/>
  <c r="P966" i="2" s="1" a="1"/>
  <c r="K967" i="2"/>
  <c r="P967" i="2" s="1" a="1"/>
  <c r="K968" i="2"/>
  <c r="P968" i="2" s="1" a="1"/>
  <c r="K969" i="2"/>
  <c r="P969" i="2" s="1" a="1"/>
  <c r="K970" i="2"/>
  <c r="P970" i="2" s="1" a="1"/>
  <c r="K971" i="2"/>
  <c r="P971" i="2" s="1" a="1"/>
  <c r="K972" i="2"/>
  <c r="P972" i="2" s="1" a="1"/>
  <c r="K973" i="2"/>
  <c r="P973" i="2" s="1" a="1"/>
  <c r="K974" i="2"/>
  <c r="P974" i="2" s="1" a="1"/>
  <c r="K975" i="2"/>
  <c r="P975" i="2" s="1" a="1"/>
  <c r="K976" i="2"/>
  <c r="P976" i="2" s="1" a="1"/>
  <c r="K977" i="2"/>
  <c r="P977" i="2" s="1" a="1"/>
  <c r="K978" i="2"/>
  <c r="P978" i="2" s="1" a="1"/>
  <c r="K979" i="2"/>
  <c r="P979" i="2" s="1" a="1"/>
  <c r="K980" i="2"/>
  <c r="P980" i="2" s="1" a="1"/>
  <c r="K981" i="2"/>
  <c r="P981" i="2" s="1" a="1"/>
  <c r="K982" i="2"/>
  <c r="P982" i="2" s="1" a="1"/>
  <c r="K983" i="2"/>
  <c r="P983" i="2" s="1" a="1"/>
  <c r="K984" i="2"/>
  <c r="P984" i="2" s="1" a="1"/>
  <c r="K985" i="2"/>
  <c r="P985" i="2" s="1" a="1"/>
  <c r="K986" i="2"/>
  <c r="P986" i="2" s="1" a="1"/>
  <c r="K987" i="2"/>
  <c r="P987" i="2" s="1" a="1"/>
  <c r="K988" i="2"/>
  <c r="P988" i="2" s="1" a="1"/>
  <c r="K989" i="2"/>
  <c r="P989" i="2" s="1" a="1"/>
  <c r="K990" i="2"/>
  <c r="P990" i="2" s="1" a="1"/>
  <c r="K991" i="2"/>
  <c r="P991" i="2" s="1" a="1"/>
  <c r="K992" i="2"/>
  <c r="P992" i="2" s="1" a="1"/>
  <c r="K993" i="2"/>
  <c r="P993" i="2" s="1" a="1"/>
  <c r="K994" i="2"/>
  <c r="P994" i="2" s="1" a="1"/>
  <c r="K995" i="2"/>
  <c r="P995" i="2" s="1" a="1"/>
  <c r="K996" i="2"/>
  <c r="P996" i="2" s="1" a="1"/>
  <c r="K997" i="2"/>
  <c r="P997" i="2" s="1" a="1"/>
  <c r="K998" i="2"/>
  <c r="P998" i="2" s="1" a="1"/>
  <c r="K999" i="2"/>
  <c r="P999" i="2" s="1" a="1"/>
  <c r="K1000" i="2"/>
  <c r="P1000" i="2" s="1" a="1"/>
  <c r="K1001" i="2"/>
  <c r="P1001" i="2" s="1" a="1"/>
  <c r="K1002" i="2"/>
  <c r="P1002" i="2" s="1" a="1"/>
  <c r="K1003" i="2"/>
  <c r="P1003" i="2" s="1" a="1"/>
  <c r="K1004" i="2"/>
  <c r="P1004" i="2" s="1" a="1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R9" i="2" a="1"/>
  <c r="R21" i="2" a="1"/>
  <c r="R22" i="2" a="1"/>
  <c r="R23" i="2" a="1"/>
  <c r="R24" i="2" a="1"/>
  <c r="R25" i="2" a="1"/>
  <c r="R26" i="2" a="1"/>
  <c r="R27" i="2" a="1"/>
  <c r="R28" i="2" a="1"/>
  <c r="R29" i="2" a="1"/>
  <c r="R30" i="2" a="1"/>
  <c r="R31" i="2" a="1"/>
  <c r="R32" i="2" a="1"/>
  <c r="R33" i="2" a="1"/>
  <c r="R34" i="2" a="1"/>
  <c r="R35" i="2" a="1"/>
  <c r="R36" i="2" a="1"/>
  <c r="R37" i="2" a="1"/>
  <c r="R38" i="2" a="1"/>
  <c r="R39" i="2" a="1"/>
  <c r="R40" i="2" a="1"/>
  <c r="R41" i="2" a="1"/>
  <c r="R42" i="2" a="1"/>
  <c r="R44" i="2" a="1"/>
  <c r="R45" i="2" a="1"/>
  <c r="R46" i="2" a="1"/>
  <c r="R47" i="2" a="1"/>
  <c r="R48" i="2" a="1"/>
  <c r="R49" i="2" a="1"/>
  <c r="R50" i="2" a="1"/>
  <c r="R51" i="2" a="1"/>
  <c r="R402" i="2" a="1"/>
  <c r="R403" i="2" a="1"/>
  <c r="R404" i="2" a="1"/>
  <c r="R405" i="2" a="1"/>
  <c r="R406" i="2" a="1"/>
  <c r="R407" i="2" a="1"/>
  <c r="R408" i="2" a="1"/>
  <c r="R409" i="2" a="1"/>
  <c r="R410" i="2" a="1"/>
  <c r="R411" i="2" a="1"/>
  <c r="R412" i="2" a="1"/>
  <c r="R413" i="2" a="1"/>
  <c r="R414" i="2" a="1"/>
  <c r="R415" i="2" a="1"/>
  <c r="R416" i="2" a="1"/>
  <c r="R417" i="2" a="1"/>
  <c r="R418" i="2" a="1"/>
  <c r="R419" i="2" a="1"/>
  <c r="R420" i="2" a="1"/>
  <c r="R421" i="2" a="1"/>
  <c r="R422" i="2" a="1"/>
  <c r="R423" i="2" a="1"/>
  <c r="R424" i="2" a="1"/>
  <c r="R425" i="2" a="1"/>
  <c r="R426" i="2" a="1"/>
  <c r="R427" i="2" a="1"/>
  <c r="R428" i="2" a="1"/>
  <c r="R429" i="2" a="1"/>
  <c r="R430" i="2" a="1"/>
  <c r="R431" i="2" a="1"/>
  <c r="R432" i="2" a="1"/>
  <c r="R433" i="2" a="1"/>
  <c r="R434" i="2" a="1"/>
  <c r="R435" i="2" a="1"/>
  <c r="R436" i="2" a="1"/>
  <c r="R437" i="2" a="1"/>
  <c r="R438" i="2" a="1"/>
  <c r="R439" i="2" a="1"/>
  <c r="R440" i="2" a="1"/>
  <c r="R441" i="2" a="1"/>
  <c r="R442" i="2" a="1"/>
  <c r="R443" i="2" a="1"/>
  <c r="R444" i="2" a="1"/>
  <c r="R445" i="2" a="1"/>
  <c r="R446" i="2" a="1"/>
  <c r="R447" i="2" a="1"/>
  <c r="R448" i="2" a="1"/>
  <c r="R449" i="2" a="1"/>
  <c r="R450" i="2" a="1"/>
  <c r="R451" i="2" a="1"/>
  <c r="R452" i="2" a="1"/>
  <c r="R453" i="2" a="1"/>
  <c r="R454" i="2" a="1"/>
  <c r="R455" i="2" a="1"/>
  <c r="R456" i="2" a="1"/>
  <c r="R457" i="2" a="1"/>
  <c r="R458" i="2" a="1"/>
  <c r="R459" i="2" a="1"/>
  <c r="R460" i="2" a="1"/>
  <c r="R461" i="2" a="1"/>
  <c r="R462" i="2" a="1"/>
  <c r="R463" i="2" a="1"/>
  <c r="R464" i="2" a="1"/>
  <c r="R465" i="2" a="1"/>
  <c r="R466" i="2" a="1"/>
  <c r="R467" i="2" a="1"/>
  <c r="R468" i="2" a="1"/>
  <c r="R469" i="2" a="1"/>
  <c r="R470" i="2" a="1"/>
  <c r="R471" i="2" a="1"/>
  <c r="R472" i="2" a="1"/>
  <c r="R473" i="2" a="1"/>
  <c r="R474" i="2" a="1"/>
  <c r="R475" i="2" a="1"/>
  <c r="R476" i="2" a="1"/>
  <c r="R477" i="2" a="1"/>
  <c r="R478" i="2" a="1"/>
  <c r="R479" i="2" a="1"/>
  <c r="R480" i="2" a="1"/>
  <c r="R481" i="2" a="1"/>
  <c r="R482" i="2" a="1"/>
  <c r="R483" i="2" a="1"/>
  <c r="R484" i="2" a="1"/>
  <c r="R485" i="2" a="1"/>
  <c r="R486" i="2" a="1"/>
  <c r="R487" i="2" a="1"/>
  <c r="R488" i="2" a="1"/>
  <c r="R489" i="2" a="1"/>
  <c r="R490" i="2" a="1"/>
  <c r="R491" i="2" a="1"/>
  <c r="R492" i="2" a="1"/>
  <c r="R493" i="2" a="1"/>
  <c r="R494" i="2" a="1"/>
  <c r="R495" i="2" a="1"/>
  <c r="R496" i="2" a="1"/>
  <c r="R497" i="2" a="1"/>
  <c r="R498" i="2" a="1"/>
  <c r="R499" i="2" a="1"/>
  <c r="R500" i="2" a="1"/>
  <c r="R501" i="2" a="1"/>
  <c r="R502" i="2" a="1"/>
  <c r="R503" i="2" a="1"/>
  <c r="R504" i="2" a="1"/>
  <c r="R505" i="2" a="1"/>
  <c r="R506" i="2" a="1"/>
  <c r="R507" i="2" a="1"/>
  <c r="R508" i="2" a="1"/>
  <c r="R509" i="2" a="1"/>
  <c r="R510" i="2" a="1"/>
  <c r="R511" i="2" a="1"/>
  <c r="R512" i="2" a="1"/>
  <c r="R513" i="2" a="1"/>
  <c r="R514" i="2" a="1"/>
  <c r="R515" i="2" a="1"/>
  <c r="R516" i="2" a="1"/>
  <c r="R517" i="2" a="1"/>
  <c r="R518" i="2" a="1"/>
  <c r="R519" i="2" a="1"/>
  <c r="R520" i="2" a="1"/>
  <c r="R521" i="2" a="1"/>
  <c r="R522" i="2" a="1"/>
  <c r="R523" i="2" a="1"/>
  <c r="R524" i="2" a="1"/>
  <c r="R525" i="2" a="1"/>
  <c r="R526" i="2" a="1"/>
  <c r="R527" i="2" a="1"/>
  <c r="R528" i="2" a="1"/>
  <c r="R529" i="2" a="1"/>
  <c r="R530" i="2" a="1"/>
  <c r="R531" i="2" a="1"/>
  <c r="R532" i="2" a="1"/>
  <c r="R533" i="2" a="1"/>
  <c r="R534" i="2" a="1"/>
  <c r="R535" i="2" a="1"/>
  <c r="R536" i="2" a="1"/>
  <c r="R537" i="2" a="1"/>
  <c r="R538" i="2" a="1"/>
  <c r="R539" i="2" a="1"/>
  <c r="R540" i="2" a="1"/>
  <c r="R541" i="2" a="1"/>
  <c r="R542" i="2" a="1"/>
  <c r="R543" i="2" a="1"/>
  <c r="R544" i="2" a="1"/>
  <c r="R545" i="2" a="1"/>
  <c r="R546" i="2" a="1"/>
  <c r="R547" i="2" a="1"/>
  <c r="R548" i="2" a="1"/>
  <c r="R549" i="2" a="1"/>
  <c r="R550" i="2" a="1"/>
  <c r="R551" i="2" a="1"/>
  <c r="R552" i="2" a="1"/>
  <c r="R553" i="2" a="1"/>
  <c r="R554" i="2" a="1"/>
  <c r="R555" i="2" a="1"/>
  <c r="R556" i="2" a="1"/>
  <c r="R557" i="2" a="1"/>
  <c r="R558" i="2" a="1"/>
  <c r="R559" i="2" a="1"/>
  <c r="R560" i="2" a="1"/>
  <c r="R561" i="2" a="1"/>
  <c r="R562" i="2" a="1"/>
  <c r="R563" i="2" a="1"/>
  <c r="R564" i="2" a="1"/>
  <c r="R565" i="2" a="1"/>
  <c r="R566" i="2" a="1"/>
  <c r="R567" i="2" a="1"/>
  <c r="R568" i="2" a="1"/>
  <c r="R569" i="2" a="1"/>
  <c r="R570" i="2" a="1"/>
  <c r="R571" i="2" a="1"/>
  <c r="R572" i="2" a="1"/>
  <c r="R573" i="2" a="1"/>
  <c r="R574" i="2" a="1"/>
  <c r="R575" i="2" a="1"/>
  <c r="R576" i="2" a="1"/>
  <c r="R577" i="2" a="1"/>
  <c r="R578" i="2" a="1"/>
  <c r="R579" i="2" a="1"/>
  <c r="R580" i="2" a="1"/>
  <c r="R581" i="2" a="1"/>
  <c r="R582" i="2" a="1"/>
  <c r="R583" i="2" a="1"/>
  <c r="R584" i="2" a="1"/>
  <c r="R585" i="2" a="1"/>
  <c r="R586" i="2" a="1"/>
  <c r="R587" i="2" a="1"/>
  <c r="R588" i="2" a="1"/>
  <c r="R589" i="2" a="1"/>
  <c r="R590" i="2" a="1"/>
  <c r="R591" i="2" a="1"/>
  <c r="R592" i="2" a="1"/>
  <c r="R593" i="2" a="1"/>
  <c r="R594" i="2" a="1"/>
  <c r="R595" i="2" a="1"/>
  <c r="R596" i="2" a="1"/>
  <c r="R597" i="2" a="1"/>
  <c r="R598" i="2" a="1"/>
  <c r="R599" i="2" a="1"/>
  <c r="R600" i="2" a="1"/>
  <c r="R601" i="2" a="1"/>
  <c r="R602" i="2" a="1"/>
  <c r="R603" i="2" a="1"/>
  <c r="R604" i="2" a="1"/>
  <c r="R605" i="2" a="1"/>
  <c r="R606" i="2" a="1"/>
  <c r="R607" i="2" a="1"/>
  <c r="R608" i="2" a="1"/>
  <c r="R609" i="2" a="1"/>
  <c r="R610" i="2" a="1"/>
  <c r="R611" i="2" a="1"/>
  <c r="R612" i="2" a="1"/>
  <c r="R613" i="2" a="1"/>
  <c r="R614" i="2" a="1"/>
  <c r="R615" i="2" a="1"/>
  <c r="R616" i="2" a="1"/>
  <c r="R617" i="2" a="1"/>
  <c r="R618" i="2" a="1"/>
  <c r="R619" i="2" a="1"/>
  <c r="R620" i="2" a="1"/>
  <c r="R621" i="2" a="1"/>
  <c r="R622" i="2" a="1"/>
  <c r="R623" i="2" a="1"/>
  <c r="R624" i="2" a="1"/>
  <c r="R625" i="2" a="1"/>
  <c r="R626" i="2" a="1"/>
  <c r="R627" i="2" a="1"/>
  <c r="R628" i="2" a="1"/>
  <c r="R629" i="2" a="1"/>
  <c r="R630" i="2" a="1"/>
  <c r="R631" i="2" a="1"/>
  <c r="R632" i="2" a="1"/>
  <c r="R633" i="2" a="1"/>
  <c r="R634" i="2" a="1"/>
  <c r="R635" i="2" a="1"/>
  <c r="R636" i="2" a="1"/>
  <c r="R637" i="2" a="1"/>
  <c r="R638" i="2" a="1"/>
  <c r="R639" i="2" a="1"/>
  <c r="R640" i="2" a="1"/>
  <c r="R641" i="2" a="1"/>
  <c r="R642" i="2" a="1"/>
  <c r="R643" i="2" a="1"/>
  <c r="R644" i="2" a="1"/>
  <c r="R645" i="2" a="1"/>
  <c r="R646" i="2" a="1"/>
  <c r="R647" i="2" a="1"/>
  <c r="R648" i="2" a="1"/>
  <c r="R649" i="2" a="1"/>
  <c r="R650" i="2" a="1"/>
  <c r="R651" i="2" a="1"/>
  <c r="R652" i="2" a="1"/>
  <c r="R653" i="2" a="1"/>
  <c r="R654" i="2" a="1"/>
  <c r="R655" i="2" a="1"/>
  <c r="R656" i="2" a="1"/>
  <c r="R657" i="2" a="1"/>
  <c r="R658" i="2" a="1"/>
  <c r="R659" i="2" a="1"/>
  <c r="R660" i="2" a="1"/>
  <c r="R661" i="2" a="1"/>
  <c r="R662" i="2" a="1"/>
  <c r="R663" i="2" a="1"/>
  <c r="R664" i="2" a="1"/>
  <c r="R665" i="2" a="1"/>
  <c r="R666" i="2" a="1"/>
  <c r="R667" i="2" a="1"/>
  <c r="R668" i="2" a="1"/>
  <c r="R669" i="2" a="1"/>
  <c r="R670" i="2" a="1"/>
  <c r="R671" i="2" a="1"/>
  <c r="R672" i="2" a="1"/>
  <c r="R673" i="2" a="1"/>
  <c r="R674" i="2" a="1"/>
  <c r="R675" i="2" a="1"/>
  <c r="R676" i="2" a="1"/>
  <c r="R677" i="2" a="1"/>
  <c r="R678" i="2" a="1"/>
  <c r="R679" i="2" a="1"/>
  <c r="R680" i="2" a="1"/>
  <c r="R681" i="2" a="1"/>
  <c r="R682" i="2" a="1"/>
  <c r="R683" i="2" a="1"/>
  <c r="R684" i="2" a="1"/>
  <c r="R685" i="2" a="1"/>
  <c r="R686" i="2" a="1"/>
  <c r="R687" i="2" a="1"/>
  <c r="R688" i="2" a="1"/>
  <c r="R689" i="2" a="1"/>
  <c r="R690" i="2" a="1"/>
  <c r="R691" i="2" a="1"/>
  <c r="R692" i="2" a="1"/>
  <c r="R693" i="2" a="1"/>
  <c r="R694" i="2" a="1"/>
  <c r="R695" i="2" a="1"/>
  <c r="R696" i="2" a="1"/>
  <c r="R697" i="2" a="1"/>
  <c r="R698" i="2" a="1"/>
  <c r="R699" i="2" a="1"/>
  <c r="R700" i="2" a="1"/>
  <c r="R701" i="2" a="1"/>
  <c r="R702" i="2" a="1"/>
  <c r="R703" i="2" a="1"/>
  <c r="R704" i="2" a="1"/>
  <c r="R705" i="2" a="1"/>
  <c r="R706" i="2" a="1"/>
  <c r="R707" i="2" a="1"/>
  <c r="R708" i="2" a="1"/>
  <c r="R709" i="2" a="1"/>
  <c r="R710" i="2" a="1"/>
  <c r="R711" i="2" a="1"/>
  <c r="R712" i="2" a="1"/>
  <c r="R713" i="2" a="1"/>
  <c r="R714" i="2" a="1"/>
  <c r="R715" i="2" a="1"/>
  <c r="R716" i="2" a="1"/>
  <c r="R717" i="2" a="1"/>
  <c r="R718" i="2" a="1"/>
  <c r="R719" i="2" a="1"/>
  <c r="R720" i="2" a="1"/>
  <c r="R721" i="2" a="1"/>
  <c r="R722" i="2" a="1"/>
  <c r="R723" i="2" a="1"/>
  <c r="R724" i="2" a="1"/>
  <c r="R725" i="2" a="1"/>
  <c r="R726" i="2" a="1"/>
  <c r="R727" i="2" a="1"/>
  <c r="R728" i="2" a="1"/>
  <c r="R729" i="2" a="1"/>
  <c r="R730" i="2" a="1"/>
  <c r="R731" i="2" a="1"/>
  <c r="R732" i="2" a="1"/>
  <c r="R733" i="2" a="1"/>
  <c r="R734" i="2" a="1"/>
  <c r="R735" i="2" a="1"/>
  <c r="R736" i="2" a="1"/>
  <c r="R737" i="2" a="1"/>
  <c r="R738" i="2" a="1"/>
  <c r="R739" i="2" a="1"/>
  <c r="R740" i="2" a="1"/>
  <c r="R741" i="2" a="1"/>
  <c r="R742" i="2" a="1"/>
  <c r="R743" i="2" a="1"/>
  <c r="R744" i="2" a="1"/>
  <c r="R745" i="2" a="1"/>
  <c r="R746" i="2" a="1"/>
  <c r="R747" i="2" a="1"/>
  <c r="R748" i="2" a="1"/>
  <c r="R749" i="2" a="1"/>
  <c r="R750" i="2" a="1"/>
  <c r="R751" i="2" a="1"/>
  <c r="R752" i="2" a="1"/>
  <c r="R753" i="2" a="1"/>
  <c r="R754" i="2" a="1"/>
  <c r="R755" i="2" a="1"/>
  <c r="R756" i="2" a="1"/>
  <c r="R757" i="2" a="1"/>
  <c r="R758" i="2" a="1"/>
  <c r="R759" i="2" a="1"/>
  <c r="R760" i="2" a="1"/>
  <c r="R761" i="2" a="1"/>
  <c r="R762" i="2" a="1"/>
  <c r="R763" i="2" a="1"/>
  <c r="R764" i="2" a="1"/>
  <c r="R765" i="2" a="1"/>
  <c r="R766" i="2" a="1"/>
  <c r="R767" i="2" a="1"/>
  <c r="R768" i="2" a="1"/>
  <c r="R769" i="2" a="1"/>
  <c r="R770" i="2" a="1"/>
  <c r="R772" i="2" a="1"/>
  <c r="R773" i="2" a="1"/>
  <c r="R774" i="2" a="1"/>
  <c r="R775" i="2" a="1"/>
  <c r="R776" i="2" a="1"/>
  <c r="R777" i="2" a="1"/>
  <c r="R778" i="2" a="1"/>
  <c r="R779" i="2" a="1"/>
  <c r="R780" i="2" a="1"/>
  <c r="R781" i="2" a="1"/>
  <c r="R782" i="2" a="1"/>
  <c r="R783" i="2" a="1"/>
  <c r="R784" i="2" a="1"/>
  <c r="R785" i="2" a="1"/>
  <c r="R786" i="2" a="1"/>
  <c r="R787" i="2" a="1"/>
  <c r="R788" i="2" a="1"/>
  <c r="R789" i="2" a="1"/>
  <c r="R790" i="2" a="1"/>
  <c r="R791" i="2" a="1"/>
  <c r="R792" i="2" a="1"/>
  <c r="R793" i="2" a="1"/>
  <c r="R794" i="2" a="1"/>
  <c r="R795" i="2" a="1"/>
  <c r="R796" i="2" a="1"/>
  <c r="R797" i="2" a="1"/>
  <c r="R798" i="2" a="1"/>
  <c r="R799" i="2" a="1"/>
  <c r="R800" i="2" a="1"/>
  <c r="R801" i="2" a="1"/>
  <c r="R802" i="2" a="1"/>
  <c r="R803" i="2" a="1"/>
  <c r="R804" i="2" a="1"/>
  <c r="R805" i="2" a="1"/>
  <c r="R806" i="2" a="1"/>
  <c r="R807" i="2" a="1"/>
  <c r="R808" i="2" a="1"/>
  <c r="R809" i="2" a="1"/>
  <c r="R810" i="2" a="1"/>
  <c r="R811" i="2" a="1"/>
  <c r="R812" i="2" a="1"/>
  <c r="R813" i="2" a="1"/>
  <c r="R814" i="2" a="1"/>
  <c r="R815" i="2" a="1"/>
  <c r="R816" i="2" a="1"/>
  <c r="R817" i="2" a="1"/>
  <c r="R818" i="2" a="1"/>
  <c r="R819" i="2" a="1"/>
  <c r="R820" i="2" a="1"/>
  <c r="R821" i="2" a="1"/>
  <c r="R822" i="2" a="1"/>
  <c r="R823" i="2" a="1"/>
  <c r="R824" i="2" a="1"/>
  <c r="R825" i="2" a="1"/>
  <c r="R826" i="2" a="1"/>
  <c r="R827" i="2" a="1"/>
  <c r="R828" i="2" a="1"/>
  <c r="R829" i="2" a="1"/>
  <c r="R830" i="2" a="1"/>
  <c r="R831" i="2" a="1"/>
  <c r="R832" i="2" a="1"/>
  <c r="R833" i="2" a="1"/>
  <c r="R834" i="2" a="1"/>
  <c r="R835" i="2" a="1"/>
  <c r="R836" i="2" a="1"/>
  <c r="R837" i="2" a="1"/>
  <c r="R838" i="2" a="1"/>
  <c r="R839" i="2" a="1"/>
  <c r="R840" i="2" a="1"/>
  <c r="R841" i="2" a="1"/>
  <c r="R842" i="2" a="1"/>
  <c r="R843" i="2" a="1"/>
  <c r="R844" i="2" a="1"/>
  <c r="R845" i="2" a="1"/>
  <c r="R846" i="2" a="1"/>
  <c r="R847" i="2" a="1"/>
  <c r="R848" i="2" a="1"/>
  <c r="R849" i="2" a="1"/>
  <c r="R850" i="2" a="1"/>
  <c r="R851" i="2" a="1"/>
  <c r="R852" i="2" a="1"/>
  <c r="R853" i="2" a="1"/>
  <c r="R854" i="2" a="1"/>
  <c r="R855" i="2" a="1"/>
  <c r="R856" i="2" a="1"/>
  <c r="R857" i="2" a="1"/>
  <c r="R858" i="2" a="1"/>
  <c r="R859" i="2" a="1"/>
  <c r="R860" i="2" a="1"/>
  <c r="R861" i="2" a="1"/>
  <c r="R862" i="2" a="1"/>
  <c r="R863" i="2" a="1"/>
  <c r="R864" i="2" a="1"/>
  <c r="R865" i="2" a="1"/>
  <c r="R866" i="2" a="1"/>
  <c r="R867" i="2" a="1"/>
  <c r="R868" i="2" a="1"/>
  <c r="R869" i="2" a="1"/>
  <c r="R870" i="2" a="1"/>
  <c r="R871" i="2" a="1"/>
  <c r="R872" i="2" a="1"/>
  <c r="R873" i="2" a="1"/>
  <c r="R874" i="2" a="1"/>
  <c r="R875" i="2" a="1"/>
  <c r="R876" i="2" a="1"/>
  <c r="R877" i="2" a="1"/>
  <c r="R878" i="2" a="1"/>
  <c r="R879" i="2" a="1"/>
  <c r="R880" i="2" a="1"/>
  <c r="R881" i="2" a="1"/>
  <c r="R882" i="2" a="1"/>
  <c r="R883" i="2" a="1"/>
  <c r="R884" i="2" a="1"/>
  <c r="R885" i="2" a="1"/>
  <c r="R886" i="2" a="1"/>
  <c r="R887" i="2" a="1"/>
  <c r="R888" i="2" a="1"/>
  <c r="R889" i="2" a="1"/>
  <c r="R890" i="2" a="1"/>
  <c r="R891" i="2" a="1"/>
  <c r="R892" i="2" a="1"/>
  <c r="R893" i="2" a="1"/>
  <c r="R894" i="2" a="1"/>
  <c r="R895" i="2" a="1"/>
  <c r="R896" i="2" a="1"/>
  <c r="R897" i="2" a="1"/>
  <c r="R898" i="2" a="1"/>
  <c r="R899" i="2" a="1"/>
  <c r="R900" i="2" a="1"/>
  <c r="R901" i="2" a="1"/>
  <c r="R902" i="2" a="1"/>
  <c r="R903" i="2" a="1"/>
  <c r="R904" i="2" a="1"/>
  <c r="R905" i="2" a="1"/>
  <c r="R906" i="2" a="1"/>
  <c r="R907" i="2" a="1"/>
  <c r="R908" i="2" a="1"/>
  <c r="R909" i="2" a="1"/>
  <c r="R910" i="2" a="1"/>
  <c r="R911" i="2" a="1"/>
  <c r="R912" i="2" a="1"/>
  <c r="R913" i="2" a="1"/>
  <c r="R914" i="2" a="1"/>
  <c r="R915" i="2" a="1"/>
  <c r="R916" i="2" a="1"/>
  <c r="R917" i="2" a="1"/>
  <c r="R918" i="2" a="1"/>
  <c r="R919" i="2" a="1"/>
  <c r="R920" i="2" a="1"/>
  <c r="R921" i="2" a="1"/>
  <c r="R922" i="2" a="1"/>
  <c r="R923" i="2" a="1"/>
  <c r="R924" i="2" a="1"/>
  <c r="R925" i="2" a="1"/>
  <c r="R926" i="2" a="1"/>
  <c r="R927" i="2" a="1"/>
  <c r="R928" i="2" a="1"/>
  <c r="R929" i="2" a="1"/>
  <c r="R930" i="2" a="1"/>
  <c r="R931" i="2" a="1"/>
  <c r="R932" i="2" a="1"/>
  <c r="R933" i="2" a="1"/>
  <c r="R934" i="2" a="1"/>
  <c r="R935" i="2" a="1"/>
  <c r="R936" i="2" a="1"/>
  <c r="R937" i="2" a="1"/>
  <c r="R938" i="2" a="1"/>
  <c r="R939" i="2" a="1"/>
  <c r="R940" i="2" a="1"/>
  <c r="R941" i="2" a="1"/>
  <c r="R942" i="2" a="1"/>
  <c r="R943" i="2" a="1"/>
  <c r="R944" i="2" a="1"/>
  <c r="R945" i="2" a="1"/>
  <c r="R946" i="2" a="1"/>
  <c r="R947" i="2" a="1"/>
  <c r="R948" i="2" a="1"/>
  <c r="R949" i="2" a="1"/>
  <c r="R950" i="2" a="1"/>
  <c r="R951" i="2" a="1"/>
  <c r="R952" i="2" a="1"/>
  <c r="R953" i="2" a="1"/>
  <c r="R954" i="2" a="1"/>
  <c r="R955" i="2" a="1"/>
  <c r="R956" i="2" a="1"/>
  <c r="R957" i="2" a="1"/>
  <c r="R958" i="2" a="1"/>
  <c r="R959" i="2" a="1"/>
  <c r="R960" i="2" a="1"/>
  <c r="R961" i="2" a="1"/>
  <c r="R962" i="2" a="1"/>
  <c r="R963" i="2" a="1"/>
  <c r="R964" i="2" a="1"/>
  <c r="R965" i="2" a="1"/>
  <c r="R966" i="2" a="1"/>
  <c r="R967" i="2" a="1"/>
  <c r="R968" i="2" a="1"/>
  <c r="R969" i="2" a="1"/>
  <c r="R970" i="2" a="1"/>
  <c r="R971" i="2" a="1"/>
  <c r="R972" i="2" a="1"/>
  <c r="R973" i="2" a="1"/>
  <c r="R974" i="2" a="1"/>
  <c r="R975" i="2" a="1"/>
  <c r="R976" i="2" a="1"/>
  <c r="R977" i="2" a="1"/>
  <c r="R978" i="2" a="1"/>
  <c r="R979" i="2" a="1"/>
  <c r="R980" i="2" a="1"/>
  <c r="R981" i="2" a="1"/>
  <c r="R982" i="2" a="1"/>
  <c r="R983" i="2" a="1"/>
  <c r="R984" i="2" a="1"/>
  <c r="R985" i="2" a="1"/>
  <c r="R986" i="2" a="1"/>
  <c r="R987" i="2" a="1"/>
  <c r="R988" i="2" a="1"/>
  <c r="R989" i="2" a="1"/>
  <c r="R990" i="2" a="1"/>
  <c r="R991" i="2" a="1"/>
  <c r="R992" i="2" a="1"/>
  <c r="R993" i="2" a="1"/>
  <c r="R994" i="2" a="1"/>
  <c r="R995" i="2" a="1"/>
  <c r="R996" i="2" a="1"/>
  <c r="R997" i="2" a="1"/>
  <c r="R998" i="2" a="1"/>
  <c r="R999" i="2" a="1"/>
  <c r="R1000" i="2" a="1"/>
  <c r="R1001" i="2" a="1"/>
  <c r="R1002" i="2" a="1"/>
  <c r="R1003" i="2" a="1"/>
  <c r="R1004" i="2" a="1"/>
  <c r="Q9" i="2" a="1"/>
  <c r="Q21" i="2" a="1"/>
  <c r="Q22" i="2" a="1"/>
  <c r="Q23" i="2" a="1"/>
  <c r="Q24" i="2" a="1"/>
  <c r="Q25" i="2" a="1"/>
  <c r="Q26" i="2" a="1"/>
  <c r="Q27" i="2" a="1"/>
  <c r="Q28" i="2" a="1"/>
  <c r="Q29" i="2" a="1"/>
  <c r="Q30" i="2" a="1"/>
  <c r="Q31" i="2" a="1"/>
  <c r="Q32" i="2" a="1"/>
  <c r="Q33" i="2" a="1"/>
  <c r="Q34" i="2" a="1"/>
  <c r="Q35" i="2" a="1"/>
  <c r="Q36" i="2" a="1"/>
  <c r="Q37" i="2" a="1"/>
  <c r="Q38" i="2" a="1"/>
  <c r="Q39" i="2" a="1"/>
  <c r="Q40" i="2" a="1"/>
  <c r="Q41" i="2" a="1"/>
  <c r="Q42" i="2" a="1"/>
  <c r="Q137" i="2" a="1"/>
  <c r="Q138" i="2" a="1"/>
  <c r="Q139" i="2" a="1"/>
  <c r="Q140" i="2" a="1"/>
  <c r="Q141" i="2" a="1"/>
  <c r="Q142" i="2" a="1"/>
  <c r="Q143" i="2" a="1"/>
  <c r="Q144" i="2" a="1"/>
  <c r="Q145" i="2" a="1"/>
  <c r="Q146" i="2" a="1"/>
  <c r="Q147" i="2" a="1"/>
  <c r="Q148" i="2" a="1"/>
  <c r="Q149" i="2" a="1"/>
  <c r="Q150" i="2" a="1"/>
  <c r="Q151" i="2" a="1"/>
  <c r="Q152" i="2" a="1"/>
  <c r="Q153" i="2" a="1"/>
  <c r="Q154" i="2" a="1"/>
  <c r="Q155" i="2" a="1"/>
  <c r="Q156" i="2" a="1"/>
  <c r="Q157" i="2" a="1"/>
  <c r="Q158" i="2" a="1"/>
  <c r="Q159" i="2" a="1"/>
  <c r="Q160" i="2" a="1"/>
  <c r="Q161" i="2" a="1"/>
  <c r="Q162" i="2" a="1"/>
  <c r="Q163" i="2" a="1"/>
  <c r="Q164" i="2" a="1"/>
  <c r="Q165" i="2" a="1"/>
  <c r="Q166" i="2" a="1"/>
  <c r="Q167" i="2" a="1"/>
  <c r="Q168" i="2" a="1"/>
  <c r="Q169" i="2" a="1"/>
  <c r="Q170" i="2" a="1"/>
  <c r="Q171" i="2" a="1"/>
  <c r="Q172" i="2" a="1"/>
  <c r="Q173" i="2" a="1"/>
  <c r="Q174" i="2" a="1"/>
  <c r="Q175" i="2" a="1"/>
  <c r="Q176" i="2" a="1"/>
  <c r="Q177" i="2" a="1"/>
  <c r="Q178" i="2" a="1"/>
  <c r="Q179" i="2" a="1"/>
  <c r="Q180" i="2" a="1"/>
  <c r="Q181" i="2" a="1"/>
  <c r="Q182" i="2" a="1"/>
  <c r="Q183" i="2" a="1"/>
  <c r="Q184" i="2" a="1"/>
  <c r="Q185" i="2" a="1"/>
  <c r="Q186" i="2" a="1"/>
  <c r="Q187" i="2" a="1"/>
  <c r="Q188" i="2" a="1"/>
  <c r="Q189" i="2" a="1"/>
  <c r="Q190" i="2" a="1"/>
  <c r="Q191" i="2" a="1"/>
  <c r="Q192" i="2" a="1"/>
  <c r="Q193" i="2" a="1"/>
  <c r="Q194" i="2" a="1"/>
  <c r="Q195" i="2" a="1"/>
  <c r="Q196" i="2" a="1"/>
  <c r="Q197" i="2" a="1"/>
  <c r="Q198" i="2" a="1"/>
  <c r="Q199" i="2" a="1"/>
  <c r="Q200" i="2" a="1"/>
  <c r="Q201" i="2" a="1"/>
  <c r="Q202" i="2" a="1"/>
  <c r="Q203" i="2" a="1"/>
  <c r="Q204" i="2" a="1"/>
  <c r="Q205" i="2" a="1"/>
  <c r="Q206" i="2" a="1"/>
  <c r="Q207" i="2" a="1"/>
  <c r="Q208" i="2" a="1"/>
  <c r="Q209" i="2" a="1"/>
  <c r="Q210" i="2" a="1"/>
  <c r="Q211" i="2" a="1"/>
  <c r="Q212" i="2" a="1"/>
  <c r="Q213" i="2" a="1"/>
  <c r="Q214" i="2" a="1"/>
  <c r="Q215" i="2" a="1"/>
  <c r="Q216" i="2" a="1"/>
  <c r="Q217" i="2" a="1"/>
  <c r="Q218" i="2" a="1"/>
  <c r="Q219" i="2" a="1"/>
  <c r="Q220" i="2" a="1"/>
  <c r="Q221" i="2" a="1"/>
  <c r="Q222" i="2" a="1"/>
  <c r="Q223" i="2" a="1"/>
  <c r="Q224" i="2" a="1"/>
  <c r="Q225" i="2" a="1"/>
  <c r="Q226" i="2" a="1"/>
  <c r="Q227" i="2" a="1"/>
  <c r="Q228" i="2" a="1"/>
  <c r="Q229" i="2" a="1"/>
  <c r="Q230" i="2" a="1"/>
  <c r="Q231" i="2" a="1"/>
  <c r="Q232" i="2" a="1"/>
  <c r="Q233" i="2" a="1"/>
  <c r="Q234" i="2" a="1"/>
  <c r="Q235" i="2" a="1"/>
  <c r="Q236" i="2" a="1"/>
  <c r="Q237" i="2" a="1"/>
  <c r="Q238" i="2" a="1"/>
  <c r="Q239" i="2" a="1"/>
  <c r="Q240" i="2" a="1"/>
  <c r="Q241" i="2" a="1"/>
  <c r="Q242" i="2" a="1"/>
  <c r="Q243" i="2" a="1"/>
  <c r="Q244" i="2" a="1"/>
  <c r="Q245" i="2" a="1"/>
  <c r="Q246" i="2" a="1"/>
  <c r="Q247" i="2" a="1"/>
  <c r="Q248" i="2" a="1"/>
  <c r="Q249" i="2" a="1"/>
  <c r="Q250" i="2" a="1"/>
  <c r="Q251" i="2" a="1"/>
  <c r="Q252" i="2" a="1"/>
  <c r="Q253" i="2" a="1"/>
  <c r="Q254" i="2" a="1"/>
  <c r="Q255" i="2" a="1"/>
  <c r="Q256" i="2" a="1"/>
  <c r="Q257" i="2" a="1"/>
  <c r="Q258" i="2" a="1"/>
  <c r="Q259" i="2" a="1"/>
  <c r="Q260" i="2" a="1"/>
  <c r="Q261" i="2" a="1"/>
  <c r="Q262" i="2" a="1"/>
  <c r="Q263" i="2" a="1"/>
  <c r="Q264" i="2" a="1"/>
  <c r="Q265" i="2" a="1"/>
  <c r="Q266" i="2" a="1"/>
  <c r="Q267" i="2" a="1"/>
  <c r="Q268" i="2" a="1"/>
  <c r="Q269" i="2" a="1"/>
  <c r="Q270" i="2" a="1"/>
  <c r="Q271" i="2" a="1"/>
  <c r="Q272" i="2" a="1"/>
  <c r="Q273" i="2" a="1"/>
  <c r="Q274" i="2" a="1"/>
  <c r="Q275" i="2" a="1"/>
  <c r="Q276" i="2" a="1"/>
  <c r="Q277" i="2" a="1"/>
  <c r="Q278" i="2" a="1"/>
  <c r="Q279" i="2" a="1"/>
  <c r="Q280" i="2" a="1"/>
  <c r="Q281" i="2" a="1"/>
  <c r="Q282" i="2" a="1"/>
  <c r="Q283" i="2" a="1"/>
  <c r="Q284" i="2" a="1"/>
  <c r="Q285" i="2" a="1"/>
  <c r="Q286" i="2" a="1"/>
  <c r="Q287" i="2" a="1"/>
  <c r="Q288" i="2" a="1"/>
  <c r="Q289" i="2" a="1"/>
  <c r="Q290" i="2" a="1"/>
  <c r="Q291" i="2" a="1"/>
  <c r="Q292" i="2" a="1"/>
  <c r="Q293" i="2" a="1"/>
  <c r="Q294" i="2" a="1"/>
  <c r="Q295" i="2" a="1"/>
  <c r="Q296" i="2" a="1"/>
  <c r="Q297" i="2" a="1"/>
  <c r="Q298" i="2" a="1"/>
  <c r="Q299" i="2" a="1"/>
  <c r="Q300" i="2" a="1"/>
  <c r="Q301" i="2" a="1"/>
  <c r="Q302" i="2" a="1"/>
  <c r="Q303" i="2" a="1"/>
  <c r="Q304" i="2" a="1"/>
  <c r="Q305" i="2" a="1"/>
  <c r="Q306" i="2" a="1"/>
  <c r="Q307" i="2" a="1"/>
  <c r="Q308" i="2" a="1"/>
  <c r="Q309" i="2" a="1"/>
  <c r="Q310" i="2" a="1"/>
  <c r="Q311" i="2" a="1"/>
  <c r="Q312" i="2" a="1"/>
  <c r="Q313" i="2" a="1"/>
  <c r="Q314" i="2" a="1"/>
  <c r="Q315" i="2" a="1"/>
  <c r="Q316" i="2" a="1"/>
  <c r="Q317" i="2" a="1"/>
  <c r="Q318" i="2" a="1"/>
  <c r="Q319" i="2" a="1"/>
  <c r="Q320" i="2" a="1"/>
  <c r="Q321" i="2" a="1"/>
  <c r="Q322" i="2" a="1"/>
  <c r="Q323" i="2" a="1"/>
  <c r="Q324" i="2" a="1"/>
  <c r="Q325" i="2" a="1"/>
  <c r="Q326" i="2" a="1"/>
  <c r="Q327" i="2" a="1"/>
  <c r="Q328" i="2" a="1"/>
  <c r="Q329" i="2" a="1"/>
  <c r="Q330" i="2" a="1"/>
  <c r="Q331" i="2" a="1"/>
  <c r="Q332" i="2" a="1"/>
  <c r="Q333" i="2" a="1"/>
  <c r="Q334" i="2" a="1"/>
  <c r="Q335" i="2" a="1"/>
  <c r="Q336" i="2" a="1"/>
  <c r="Q337" i="2" a="1"/>
  <c r="Q338" i="2" a="1"/>
  <c r="Q339" i="2" a="1"/>
  <c r="Q340" i="2" a="1"/>
  <c r="Q341" i="2" a="1"/>
  <c r="Q342" i="2" a="1"/>
  <c r="Q343" i="2" a="1"/>
  <c r="Q344" i="2" a="1"/>
  <c r="Q345" i="2" a="1"/>
  <c r="Q346" i="2" a="1"/>
  <c r="Q347" i="2" a="1"/>
  <c r="Q348" i="2" a="1"/>
  <c r="Q349" i="2" a="1"/>
  <c r="Q350" i="2" a="1"/>
  <c r="Q351" i="2" a="1"/>
  <c r="Q352" i="2" a="1"/>
  <c r="Q353" i="2" a="1"/>
  <c r="Q354" i="2" a="1"/>
  <c r="Q355" i="2" a="1"/>
  <c r="Q356" i="2" a="1"/>
  <c r="Q357" i="2" a="1"/>
  <c r="Q358" i="2" a="1"/>
  <c r="Q359" i="2" a="1"/>
  <c r="Q360" i="2" a="1"/>
  <c r="Q361" i="2" a="1"/>
  <c r="Q362" i="2" a="1"/>
  <c r="Q363" i="2" a="1"/>
  <c r="Q364" i="2" a="1"/>
  <c r="Q365" i="2" a="1"/>
  <c r="Q366" i="2" a="1"/>
  <c r="Q367" i="2" a="1"/>
  <c r="Q368" i="2" a="1"/>
  <c r="Q369" i="2" a="1"/>
  <c r="Q370" i="2" a="1"/>
  <c r="Q371" i="2" a="1"/>
  <c r="Q372" i="2" a="1"/>
  <c r="Q373" i="2" a="1"/>
  <c r="Q374" i="2" a="1"/>
  <c r="Q375" i="2" a="1"/>
  <c r="Q376" i="2" a="1"/>
  <c r="Q377" i="2" a="1"/>
  <c r="Q378" i="2" a="1"/>
  <c r="Q379" i="2" a="1"/>
  <c r="Q380" i="2" a="1"/>
  <c r="Q381" i="2" a="1"/>
  <c r="Q382" i="2" a="1"/>
  <c r="Q383" i="2" a="1"/>
  <c r="Q384" i="2" a="1"/>
  <c r="Q385" i="2" a="1"/>
  <c r="Q386" i="2" a="1"/>
  <c r="Q387" i="2" a="1"/>
  <c r="Q388" i="2" a="1"/>
  <c r="Q389" i="2" a="1"/>
  <c r="Q390" i="2" a="1"/>
  <c r="Q391" i="2" a="1"/>
  <c r="Q392" i="2" a="1"/>
  <c r="Q393" i="2" a="1"/>
  <c r="Q394" i="2" a="1"/>
  <c r="Q395" i="2" a="1"/>
  <c r="Q396" i="2" a="1"/>
  <c r="Q397" i="2" a="1"/>
  <c r="Q398" i="2" a="1"/>
  <c r="Q399" i="2" a="1"/>
  <c r="Q400" i="2" a="1"/>
  <c r="Q401" i="2" a="1"/>
  <c r="Q402" i="2" a="1"/>
  <c r="Q403" i="2" a="1"/>
  <c r="Q404" i="2" a="1"/>
  <c r="Q405" i="2" a="1"/>
  <c r="Q406" i="2" a="1"/>
  <c r="Q407" i="2" a="1"/>
  <c r="Q408" i="2" a="1"/>
  <c r="Q409" i="2" a="1"/>
  <c r="Q410" i="2" a="1"/>
  <c r="Q411" i="2" a="1"/>
  <c r="Q412" i="2" a="1"/>
  <c r="Q413" i="2" a="1"/>
  <c r="Q414" i="2" a="1"/>
  <c r="Q415" i="2" a="1"/>
  <c r="Q416" i="2" a="1"/>
  <c r="Q417" i="2" a="1"/>
  <c r="Q418" i="2" a="1"/>
  <c r="Q419" i="2" a="1"/>
  <c r="Q420" i="2" a="1"/>
  <c r="Q421" i="2" a="1"/>
  <c r="Q422" i="2" a="1"/>
  <c r="Q423" i="2" a="1"/>
  <c r="Q424" i="2" a="1"/>
  <c r="Q425" i="2" a="1"/>
  <c r="Q426" i="2" a="1"/>
  <c r="Q427" i="2" a="1"/>
  <c r="Q428" i="2" a="1"/>
  <c r="Q429" i="2" a="1"/>
  <c r="Q430" i="2" a="1"/>
  <c r="Q431" i="2" a="1"/>
  <c r="Q432" i="2" a="1"/>
  <c r="Q433" i="2" a="1"/>
  <c r="Q434" i="2" a="1"/>
  <c r="Q435" i="2" a="1"/>
  <c r="Q436" i="2" a="1"/>
  <c r="Q437" i="2" a="1"/>
  <c r="Q438" i="2" a="1"/>
  <c r="Q439" i="2" a="1"/>
  <c r="Q440" i="2" a="1"/>
  <c r="Q441" i="2" a="1"/>
  <c r="Q442" i="2" a="1"/>
  <c r="Q443" i="2" a="1"/>
  <c r="Q444" i="2" a="1"/>
  <c r="Q445" i="2" a="1"/>
  <c r="Q446" i="2" a="1"/>
  <c r="Q447" i="2" a="1"/>
  <c r="Q448" i="2" a="1"/>
  <c r="Q449" i="2" a="1"/>
  <c r="Q450" i="2" a="1"/>
  <c r="Q451" i="2" a="1"/>
  <c r="Q452" i="2" a="1"/>
  <c r="Q453" i="2" a="1"/>
  <c r="Q454" i="2" a="1"/>
  <c r="Q455" i="2" a="1"/>
  <c r="Q456" i="2" a="1"/>
  <c r="Q457" i="2" a="1"/>
  <c r="Q458" i="2" a="1"/>
  <c r="Q459" i="2" a="1"/>
  <c r="Q460" i="2" a="1"/>
  <c r="Q461" i="2" a="1"/>
  <c r="Q462" i="2" a="1"/>
  <c r="Q463" i="2" a="1"/>
  <c r="Q464" i="2" a="1"/>
  <c r="Q465" i="2" a="1"/>
  <c r="Q466" i="2" a="1"/>
  <c r="Q467" i="2" a="1"/>
  <c r="Q468" i="2" a="1"/>
  <c r="Q469" i="2" a="1"/>
  <c r="Q470" i="2" a="1"/>
  <c r="Q471" i="2" a="1"/>
  <c r="Q472" i="2" a="1"/>
  <c r="Q473" i="2" a="1"/>
  <c r="Q474" i="2" a="1"/>
  <c r="Q475" i="2" a="1"/>
  <c r="Q476" i="2" a="1"/>
  <c r="Q477" i="2" a="1"/>
  <c r="Q478" i="2" a="1"/>
  <c r="Q479" i="2" a="1"/>
  <c r="Q480" i="2" a="1"/>
  <c r="Q481" i="2" a="1"/>
  <c r="Q482" i="2" a="1"/>
  <c r="Q483" i="2" a="1"/>
  <c r="Q484" i="2" a="1"/>
  <c r="Q485" i="2" a="1"/>
  <c r="Q486" i="2" a="1"/>
  <c r="Q487" i="2" a="1"/>
  <c r="Q488" i="2" a="1"/>
  <c r="Q489" i="2" a="1"/>
  <c r="Q490" i="2" a="1"/>
  <c r="Q491" i="2" a="1"/>
  <c r="Q492" i="2" a="1"/>
  <c r="Q493" i="2" a="1"/>
  <c r="Q494" i="2" a="1"/>
  <c r="Q495" i="2" a="1"/>
  <c r="Q496" i="2" a="1"/>
  <c r="Q497" i="2" a="1"/>
  <c r="Q498" i="2" a="1"/>
  <c r="Q499" i="2" a="1"/>
  <c r="Q500" i="2" a="1"/>
  <c r="Q501" i="2" a="1"/>
  <c r="Q502" i="2" a="1"/>
  <c r="Q503" i="2" a="1"/>
  <c r="Q504" i="2" a="1"/>
  <c r="Q505" i="2" a="1"/>
  <c r="Q506" i="2" a="1"/>
  <c r="Q507" i="2" a="1"/>
  <c r="Q508" i="2" a="1"/>
  <c r="Q509" i="2" a="1"/>
  <c r="Q510" i="2" a="1"/>
  <c r="Q511" i="2" a="1"/>
  <c r="Q512" i="2" a="1"/>
  <c r="Q513" i="2" a="1"/>
  <c r="Q514" i="2" a="1"/>
  <c r="Q515" i="2" a="1"/>
  <c r="Q516" i="2" a="1"/>
  <c r="Q517" i="2" a="1"/>
  <c r="Q518" i="2" a="1"/>
  <c r="Q519" i="2" a="1"/>
  <c r="Q520" i="2" a="1"/>
  <c r="Q521" i="2" a="1"/>
  <c r="Q522" i="2" a="1"/>
  <c r="Q523" i="2" a="1"/>
  <c r="Q524" i="2" a="1"/>
  <c r="Q525" i="2" a="1"/>
  <c r="Q526" i="2" a="1"/>
  <c r="Q527" i="2" a="1"/>
  <c r="Q528" i="2" a="1"/>
  <c r="Q529" i="2" a="1"/>
  <c r="Q530" i="2" a="1"/>
  <c r="Q531" i="2" a="1"/>
  <c r="Q532" i="2" a="1"/>
  <c r="Q533" i="2" a="1"/>
  <c r="Q534" i="2" a="1"/>
  <c r="Q535" i="2" a="1"/>
  <c r="Q536" i="2" a="1"/>
  <c r="Q537" i="2" a="1"/>
  <c r="Q538" i="2" a="1"/>
  <c r="Q539" i="2" a="1"/>
  <c r="Q540" i="2" a="1"/>
  <c r="Q541" i="2" a="1"/>
  <c r="Q542" i="2" a="1"/>
  <c r="Q543" i="2" a="1"/>
  <c r="Q544" i="2" a="1"/>
  <c r="Q545" i="2" a="1"/>
  <c r="Q546" i="2" a="1"/>
  <c r="Q547" i="2" a="1"/>
  <c r="Q548" i="2" a="1"/>
  <c r="Q549" i="2" a="1"/>
  <c r="Q550" i="2" a="1"/>
  <c r="Q551" i="2" a="1"/>
  <c r="Q552" i="2" a="1"/>
  <c r="Q553" i="2" a="1"/>
  <c r="Q554" i="2" a="1"/>
  <c r="Q555" i="2" a="1"/>
  <c r="Q556" i="2" a="1"/>
  <c r="Q557" i="2" a="1"/>
  <c r="Q558" i="2" a="1"/>
  <c r="Q559" i="2" a="1"/>
  <c r="Q560" i="2" a="1"/>
  <c r="Q561" i="2" a="1"/>
  <c r="Q562" i="2" a="1"/>
  <c r="Q563" i="2" a="1"/>
  <c r="Q564" i="2" a="1"/>
  <c r="Q565" i="2" a="1"/>
  <c r="Q566" i="2" a="1"/>
  <c r="Q567" i="2" a="1"/>
  <c r="Q568" i="2" a="1"/>
  <c r="Q569" i="2" a="1"/>
  <c r="Q570" i="2" a="1"/>
  <c r="Q571" i="2" a="1"/>
  <c r="Q572" i="2" a="1"/>
  <c r="Q573" i="2" a="1"/>
  <c r="Q574" i="2" a="1"/>
  <c r="Q575" i="2" a="1"/>
  <c r="Q576" i="2" a="1"/>
  <c r="Q577" i="2" a="1"/>
  <c r="Q578" i="2" a="1"/>
  <c r="Q579" i="2" a="1"/>
  <c r="Q580" i="2" a="1"/>
  <c r="Q581" i="2" a="1"/>
  <c r="Q582" i="2" a="1"/>
  <c r="Q583" i="2" a="1"/>
  <c r="Q584" i="2" a="1"/>
  <c r="Q585" i="2" a="1"/>
  <c r="Q586" i="2" a="1"/>
  <c r="Q587" i="2" a="1"/>
  <c r="Q588" i="2" a="1"/>
  <c r="Q589" i="2" a="1"/>
  <c r="Q590" i="2" a="1"/>
  <c r="Q591" i="2" a="1"/>
  <c r="Q592" i="2" a="1"/>
  <c r="Q593" i="2" a="1"/>
  <c r="Q594" i="2" a="1"/>
  <c r="Q595" i="2" a="1"/>
  <c r="Q596" i="2" a="1"/>
  <c r="Q597" i="2" a="1"/>
  <c r="Q598" i="2" a="1"/>
  <c r="Q599" i="2" a="1"/>
  <c r="Q600" i="2" a="1"/>
  <c r="Q601" i="2" a="1"/>
  <c r="Q602" i="2" a="1"/>
  <c r="Q603" i="2" a="1"/>
  <c r="Q604" i="2" a="1"/>
  <c r="Q605" i="2" a="1"/>
  <c r="Q606" i="2" a="1"/>
  <c r="Q607" i="2" a="1"/>
  <c r="Q608" i="2" a="1"/>
  <c r="Q609" i="2" a="1"/>
  <c r="Q610" i="2" a="1"/>
  <c r="Q611" i="2" a="1"/>
  <c r="Q612" i="2" a="1"/>
  <c r="Q613" i="2" a="1"/>
  <c r="Q614" i="2" a="1"/>
  <c r="Q615" i="2" a="1"/>
  <c r="Q616" i="2" a="1"/>
  <c r="Q617" i="2" a="1"/>
  <c r="Q618" i="2" a="1"/>
  <c r="Q619" i="2" a="1"/>
  <c r="Q620" i="2" a="1"/>
  <c r="Q621" i="2" a="1"/>
  <c r="Q622" i="2" a="1"/>
  <c r="Q623" i="2" a="1"/>
  <c r="Q624" i="2" a="1"/>
  <c r="Q625" i="2" a="1"/>
  <c r="Q626" i="2" a="1"/>
  <c r="Q627" i="2" a="1"/>
  <c r="Q628" i="2" a="1"/>
  <c r="Q629" i="2" a="1"/>
  <c r="Q630" i="2" a="1"/>
  <c r="Q631" i="2" a="1"/>
  <c r="Q632" i="2" a="1"/>
  <c r="Q633" i="2" a="1"/>
  <c r="Q634" i="2" a="1"/>
  <c r="Q635" i="2" a="1"/>
  <c r="Q636" i="2" a="1"/>
  <c r="Q637" i="2" a="1"/>
  <c r="Q638" i="2" a="1"/>
  <c r="Q639" i="2" a="1"/>
  <c r="Q640" i="2" a="1"/>
  <c r="Q641" i="2" a="1"/>
  <c r="Q642" i="2" a="1"/>
  <c r="Q643" i="2" a="1"/>
  <c r="Q644" i="2" a="1"/>
  <c r="Q645" i="2" a="1"/>
  <c r="Q646" i="2" a="1"/>
  <c r="Q647" i="2" a="1"/>
  <c r="Q648" i="2" a="1"/>
  <c r="Q649" i="2" a="1"/>
  <c r="Q650" i="2" a="1"/>
  <c r="Q651" i="2" a="1"/>
  <c r="Q652" i="2" a="1"/>
  <c r="Q653" i="2" a="1"/>
  <c r="Q654" i="2" a="1"/>
  <c r="Q655" i="2" a="1"/>
  <c r="Q656" i="2" a="1"/>
  <c r="Q657" i="2" a="1"/>
  <c r="Q658" i="2" a="1"/>
  <c r="Q659" i="2" a="1"/>
  <c r="Q660" i="2" a="1"/>
  <c r="Q661" i="2" a="1"/>
  <c r="Q662" i="2" a="1"/>
  <c r="Q663" i="2" a="1"/>
  <c r="Q664" i="2" a="1"/>
  <c r="Q665" i="2" a="1"/>
  <c r="Q666" i="2" a="1"/>
  <c r="Q667" i="2" a="1"/>
  <c r="Q668" i="2" a="1"/>
  <c r="Q669" i="2" a="1"/>
  <c r="Q670" i="2" a="1"/>
  <c r="Q671" i="2" a="1"/>
  <c r="Q672" i="2" a="1"/>
  <c r="Q673" i="2" a="1"/>
  <c r="Q674" i="2" a="1"/>
  <c r="Q675" i="2" a="1"/>
  <c r="Q676" i="2" a="1"/>
  <c r="Q677" i="2" a="1"/>
  <c r="Q678" i="2" a="1"/>
  <c r="Q679" i="2" a="1"/>
  <c r="Q680" i="2" a="1"/>
  <c r="Q681" i="2" a="1"/>
  <c r="Q682" i="2" a="1"/>
  <c r="Q683" i="2" a="1"/>
  <c r="Q684" i="2" a="1"/>
  <c r="Q685" i="2" a="1"/>
  <c r="Q686" i="2" a="1"/>
  <c r="Q687" i="2" a="1"/>
  <c r="Q688" i="2" a="1"/>
  <c r="Q689" i="2" a="1"/>
  <c r="Q690" i="2" a="1"/>
  <c r="Q691" i="2" a="1"/>
  <c r="Q692" i="2" a="1"/>
  <c r="Q693" i="2" a="1"/>
  <c r="Q694" i="2" a="1"/>
  <c r="Q695" i="2" a="1"/>
  <c r="Q696" i="2" a="1"/>
  <c r="Q697" i="2" a="1"/>
  <c r="Q698" i="2" a="1"/>
  <c r="Q699" i="2" a="1"/>
  <c r="Q700" i="2" a="1"/>
  <c r="Q701" i="2" a="1"/>
  <c r="Q702" i="2" a="1"/>
  <c r="Q703" i="2" a="1"/>
  <c r="Q704" i="2" a="1"/>
  <c r="Q705" i="2" a="1"/>
  <c r="Q706" i="2" a="1"/>
  <c r="Q707" i="2" a="1"/>
  <c r="Q708" i="2" a="1"/>
  <c r="Q709" i="2" a="1"/>
  <c r="Q710" i="2" a="1"/>
  <c r="Q711" i="2" a="1"/>
  <c r="Q712" i="2" a="1"/>
  <c r="Q713" i="2" a="1"/>
  <c r="Q714" i="2" a="1"/>
  <c r="Q715" i="2" a="1"/>
  <c r="Q716" i="2" a="1"/>
  <c r="Q717" i="2" a="1"/>
  <c r="Q718" i="2" a="1"/>
  <c r="Q719" i="2" a="1"/>
  <c r="Q720" i="2" a="1"/>
  <c r="Q721" i="2" a="1"/>
  <c r="Q722" i="2" a="1"/>
  <c r="Q723" i="2" a="1"/>
  <c r="Q724" i="2" a="1"/>
  <c r="Q725" i="2" a="1"/>
  <c r="Q726" i="2" a="1"/>
  <c r="Q727" i="2" a="1"/>
  <c r="Q728" i="2" a="1"/>
  <c r="Q729" i="2" a="1"/>
  <c r="Q730" i="2" a="1"/>
  <c r="Q731" i="2" a="1"/>
  <c r="Q732" i="2" a="1"/>
  <c r="Q733" i="2" a="1"/>
  <c r="Q734" i="2" a="1"/>
  <c r="Q735" i="2" a="1"/>
  <c r="Q736" i="2" a="1"/>
  <c r="Q737" i="2" a="1"/>
  <c r="Q738" i="2" a="1"/>
  <c r="Q739" i="2" a="1"/>
  <c r="Q740" i="2" a="1"/>
  <c r="Q741" i="2" a="1"/>
  <c r="Q742" i="2" a="1"/>
  <c r="Q743" i="2" a="1"/>
  <c r="Q744" i="2" a="1"/>
  <c r="Q745" i="2" a="1"/>
  <c r="Q746" i="2" a="1"/>
  <c r="Q747" i="2" a="1"/>
  <c r="Q748" i="2" a="1"/>
  <c r="Q749" i="2" a="1"/>
  <c r="Q750" i="2" a="1"/>
  <c r="Q751" i="2" a="1"/>
  <c r="Q752" i="2" a="1"/>
  <c r="Q753" i="2" a="1"/>
  <c r="Q754" i="2" a="1"/>
  <c r="Q755" i="2" a="1"/>
  <c r="Q756" i="2" a="1"/>
  <c r="Q757" i="2" a="1"/>
  <c r="Q758" i="2" a="1"/>
  <c r="Q759" i="2" a="1"/>
  <c r="Q760" i="2" a="1"/>
  <c r="Q761" i="2" a="1"/>
  <c r="Q762" i="2" a="1"/>
  <c r="Q763" i="2" a="1"/>
  <c r="Q764" i="2" a="1"/>
  <c r="Q765" i="2" a="1"/>
  <c r="Q766" i="2" a="1"/>
  <c r="Q767" i="2" a="1"/>
  <c r="Q768" i="2" a="1"/>
  <c r="Q769" i="2" a="1"/>
  <c r="Q770" i="2" a="1"/>
  <c r="Q772" i="2" a="1"/>
  <c r="Q773" i="2" a="1"/>
  <c r="Q774" i="2" a="1"/>
  <c r="Q775" i="2" a="1"/>
  <c r="Q776" i="2" a="1"/>
  <c r="Q777" i="2" a="1"/>
  <c r="Q778" i="2" a="1"/>
  <c r="Q779" i="2" a="1"/>
  <c r="Q780" i="2" a="1"/>
  <c r="Q781" i="2" a="1"/>
  <c r="Q782" i="2" a="1"/>
  <c r="Q783" i="2" a="1"/>
  <c r="Q784" i="2" a="1"/>
  <c r="Q785" i="2" a="1"/>
  <c r="Q786" i="2" a="1"/>
  <c r="Q787" i="2" a="1"/>
  <c r="Q788" i="2" a="1"/>
  <c r="Q789" i="2" a="1"/>
  <c r="Q790" i="2" a="1"/>
  <c r="Q791" i="2" a="1"/>
  <c r="Q792" i="2" a="1"/>
  <c r="Q793" i="2" a="1"/>
  <c r="Q794" i="2" a="1"/>
  <c r="Q795" i="2" a="1"/>
  <c r="Q796" i="2" a="1"/>
  <c r="Q797" i="2" a="1"/>
  <c r="Q798" i="2" a="1"/>
  <c r="Q799" i="2" a="1"/>
  <c r="Q800" i="2" a="1"/>
  <c r="Q801" i="2" a="1"/>
  <c r="Q802" i="2" a="1"/>
  <c r="Q803" i="2" a="1"/>
  <c r="Q804" i="2" a="1"/>
  <c r="Q805" i="2" a="1"/>
  <c r="Q806" i="2" a="1"/>
  <c r="Q807" i="2" a="1"/>
  <c r="Q808" i="2" a="1"/>
  <c r="Q809" i="2" a="1"/>
  <c r="Q810" i="2" a="1"/>
  <c r="Q811" i="2" a="1"/>
  <c r="Q812" i="2" a="1"/>
  <c r="Q813" i="2" a="1"/>
  <c r="Q814" i="2" a="1"/>
  <c r="Q815" i="2" a="1"/>
  <c r="Q816" i="2" a="1"/>
  <c r="Q817" i="2" a="1"/>
  <c r="Q818" i="2" a="1"/>
  <c r="Q819" i="2" a="1"/>
  <c r="Q820" i="2" a="1"/>
  <c r="Q821" i="2" a="1"/>
  <c r="Q822" i="2" a="1"/>
  <c r="Q823" i="2" a="1"/>
  <c r="Q824" i="2" a="1"/>
  <c r="Q825" i="2" a="1"/>
  <c r="Q826" i="2" a="1"/>
  <c r="Q827" i="2" a="1"/>
  <c r="Q828" i="2" a="1"/>
  <c r="Q829" i="2" a="1"/>
  <c r="Q830" i="2" a="1"/>
  <c r="Q831" i="2" a="1"/>
  <c r="Q832" i="2" a="1"/>
  <c r="Q833" i="2" a="1"/>
  <c r="Q834" i="2" a="1"/>
  <c r="Q835" i="2" a="1"/>
  <c r="Q836" i="2" a="1"/>
  <c r="Q837" i="2" a="1"/>
  <c r="Q838" i="2" a="1"/>
  <c r="Q839" i="2" a="1"/>
  <c r="Q840" i="2" a="1"/>
  <c r="Q841" i="2" a="1"/>
  <c r="Q842" i="2" a="1"/>
  <c r="Q843" i="2" a="1"/>
  <c r="Q844" i="2" a="1"/>
  <c r="Q845" i="2" a="1"/>
  <c r="Q846" i="2" a="1"/>
  <c r="Q847" i="2" a="1"/>
  <c r="Q848" i="2" a="1"/>
  <c r="Q849" i="2" a="1"/>
  <c r="Q850" i="2" a="1"/>
  <c r="Q851" i="2" a="1"/>
  <c r="Q852" i="2" a="1"/>
  <c r="Q853" i="2" a="1"/>
  <c r="Q854" i="2" a="1"/>
  <c r="Q855" i="2" a="1"/>
  <c r="Q856" i="2" a="1"/>
  <c r="Q857" i="2" a="1"/>
  <c r="Q858" i="2" a="1"/>
  <c r="Q859" i="2" a="1"/>
  <c r="Q860" i="2" a="1"/>
  <c r="Q861" i="2" a="1"/>
  <c r="Q862" i="2" a="1"/>
  <c r="Q863" i="2" a="1"/>
  <c r="Q864" i="2" a="1"/>
  <c r="Q865" i="2" a="1"/>
  <c r="Q866" i="2" a="1"/>
  <c r="Q867" i="2" a="1"/>
  <c r="Q868" i="2" a="1"/>
  <c r="Q869" i="2" a="1"/>
  <c r="Q870" i="2" a="1"/>
  <c r="Q871" i="2" a="1"/>
  <c r="Q872" i="2" a="1"/>
  <c r="Q873" i="2" a="1"/>
  <c r="Q874" i="2" a="1"/>
  <c r="Q875" i="2" a="1"/>
  <c r="Q876" i="2" a="1"/>
  <c r="Q877" i="2" a="1"/>
  <c r="Q878" i="2" a="1"/>
  <c r="Q879" i="2" a="1"/>
  <c r="Q880" i="2" a="1"/>
  <c r="Q881" i="2" a="1"/>
  <c r="Q882" i="2" a="1"/>
  <c r="Q883" i="2" a="1"/>
  <c r="Q884" i="2" a="1"/>
  <c r="Q885" i="2" a="1"/>
  <c r="Q886" i="2" a="1"/>
  <c r="Q887" i="2" a="1"/>
  <c r="Q888" i="2" a="1"/>
  <c r="Q889" i="2" a="1"/>
  <c r="Q890" i="2" a="1"/>
  <c r="Q891" i="2" a="1"/>
  <c r="Q892" i="2" a="1"/>
  <c r="Q893" i="2" a="1"/>
  <c r="Q894" i="2" a="1"/>
  <c r="Q895" i="2" a="1"/>
  <c r="Q896" i="2" a="1"/>
  <c r="Q897" i="2" a="1"/>
  <c r="Q898" i="2" a="1"/>
  <c r="Q899" i="2" a="1"/>
  <c r="Q900" i="2" a="1"/>
  <c r="Q901" i="2" a="1"/>
  <c r="Q902" i="2" a="1"/>
  <c r="Q903" i="2" a="1"/>
  <c r="Q904" i="2" a="1"/>
  <c r="Q905" i="2" a="1"/>
  <c r="Q906" i="2" a="1"/>
  <c r="Q907" i="2" a="1"/>
  <c r="Q908" i="2" a="1"/>
  <c r="Q909" i="2" a="1"/>
  <c r="Q910" i="2" a="1"/>
  <c r="Q911" i="2" a="1"/>
  <c r="Q912" i="2" a="1"/>
  <c r="Q913" i="2" a="1"/>
  <c r="Q914" i="2" a="1"/>
  <c r="Q915" i="2" a="1"/>
  <c r="Q916" i="2" a="1"/>
  <c r="Q917" i="2" a="1"/>
  <c r="Q918" i="2" a="1"/>
  <c r="Q919" i="2" a="1"/>
  <c r="Q920" i="2" a="1"/>
  <c r="Q921" i="2" a="1"/>
  <c r="Q922" i="2" a="1"/>
  <c r="Q923" i="2" a="1"/>
  <c r="Q924" i="2" a="1"/>
  <c r="Q925" i="2" a="1"/>
  <c r="Q926" i="2" a="1"/>
  <c r="Q927" i="2" a="1"/>
  <c r="Q928" i="2" a="1"/>
  <c r="Q929" i="2" a="1"/>
  <c r="Q930" i="2" a="1"/>
  <c r="Q931" i="2" a="1"/>
  <c r="Q932" i="2" a="1"/>
  <c r="Q933" i="2" a="1"/>
  <c r="Q934" i="2" a="1"/>
  <c r="Q935" i="2" a="1"/>
  <c r="Q936" i="2" a="1"/>
  <c r="Q937" i="2" a="1"/>
  <c r="Q938" i="2" a="1"/>
  <c r="Q939" i="2" a="1"/>
  <c r="Q940" i="2" a="1"/>
  <c r="Q941" i="2" a="1"/>
  <c r="Q942" i="2" a="1"/>
  <c r="Q943" i="2" a="1"/>
  <c r="Q944" i="2" a="1"/>
  <c r="Q945" i="2" a="1"/>
  <c r="Q946" i="2" a="1"/>
  <c r="Q947" i="2" a="1"/>
  <c r="Q948" i="2" a="1"/>
  <c r="Q949" i="2" a="1"/>
  <c r="Q950" i="2" a="1"/>
  <c r="Q951" i="2" a="1"/>
  <c r="Q952" i="2" a="1"/>
  <c r="Q953" i="2" a="1"/>
  <c r="Q954" i="2" a="1"/>
  <c r="Q955" i="2" a="1"/>
  <c r="Q956" i="2" a="1"/>
  <c r="Q957" i="2" a="1"/>
  <c r="Q958" i="2" a="1"/>
  <c r="Q959" i="2" a="1"/>
  <c r="Q960" i="2" a="1"/>
  <c r="Q961" i="2" a="1"/>
  <c r="Q962" i="2" a="1"/>
  <c r="Q963" i="2" a="1"/>
  <c r="Q964" i="2" a="1"/>
  <c r="Q965" i="2" a="1"/>
  <c r="Q966" i="2" a="1"/>
  <c r="Q967" i="2" a="1"/>
  <c r="Q968" i="2" a="1"/>
  <c r="Q969" i="2" a="1"/>
  <c r="Q970" i="2" a="1"/>
  <c r="Q971" i="2" a="1"/>
  <c r="Q972" i="2" a="1"/>
  <c r="Q973" i="2" a="1"/>
  <c r="Q974" i="2" a="1"/>
  <c r="Q975" i="2" a="1"/>
  <c r="Q976" i="2" a="1"/>
  <c r="Q977" i="2" a="1"/>
  <c r="Q978" i="2" a="1"/>
  <c r="Q979" i="2" a="1"/>
  <c r="Q980" i="2" a="1"/>
  <c r="Q981" i="2" a="1"/>
  <c r="Q982" i="2" a="1"/>
  <c r="Q983" i="2" a="1"/>
  <c r="Q984" i="2" a="1"/>
  <c r="Q985" i="2" a="1"/>
  <c r="Q986" i="2" a="1"/>
  <c r="Q987" i="2" a="1"/>
  <c r="Q988" i="2" a="1"/>
  <c r="Q989" i="2" a="1"/>
  <c r="Q990" i="2" a="1"/>
  <c r="Q991" i="2" a="1"/>
  <c r="Q992" i="2" a="1"/>
  <c r="Q993" i="2" a="1"/>
  <c r="Q994" i="2" a="1"/>
  <c r="Q995" i="2" a="1"/>
  <c r="Q996" i="2" a="1"/>
  <c r="Q997" i="2" a="1"/>
  <c r="Q998" i="2" a="1"/>
  <c r="Q999" i="2" a="1"/>
  <c r="Q1000" i="2" a="1"/>
  <c r="Q1001" i="2" a="1"/>
  <c r="Q1002" i="2" a="1"/>
  <c r="Q1003" i="2" a="1"/>
  <c r="Q1004" i="2" a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B17" i="3"/>
  <c r="B16" i="3"/>
  <c r="B15" i="3"/>
  <c r="B14" i="3"/>
  <c r="B13" i="3"/>
  <c r="B12" i="3"/>
  <c r="B11" i="3"/>
  <c r="B10" i="3"/>
  <c r="B9" i="3"/>
  <c r="B8" i="3"/>
  <c r="J7" i="1"/>
  <c r="B2" i="1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A5" i="2" a="1"/>
  <c r="A6" i="2" a="1"/>
  <c r="A7" i="2" a="1"/>
  <c r="A8" i="2" a="1"/>
  <c r="A9" i="2" a="1"/>
  <c r="A10" i="2" a="1"/>
  <c r="A11" i="2" a="1"/>
  <c r="A12" i="2" a="1"/>
  <c r="A13" i="2" a="1"/>
  <c r="A14" i="2" a="1"/>
  <c r="A15" i="2" a="1"/>
  <c r="A16" i="2" a="1"/>
  <c r="A17" i="2" a="1"/>
  <c r="A18" i="2" a="1"/>
  <c r="A19" i="2" a="1"/>
  <c r="A20" i="2" a="1"/>
  <c r="A21" i="2" a="1"/>
  <c r="A22" i="2" a="1"/>
  <c r="A23" i="2" a="1"/>
  <c r="A24" i="2" a="1"/>
  <c r="A25" i="2" a="1"/>
  <c r="A26" i="2" a="1"/>
  <c r="A27" i="2" a="1"/>
  <c r="A28" i="2" a="1"/>
  <c r="A29" i="2" a="1"/>
  <c r="A30" i="2" a="1"/>
  <c r="A31" i="2" a="1"/>
  <c r="A32" i="2" a="1"/>
  <c r="A33" i="2" a="1"/>
  <c r="A34" i="2" a="1"/>
  <c r="A35" i="2" a="1"/>
  <c r="A36" i="2" a="1"/>
  <c r="A37" i="2" a="1"/>
  <c r="A38" i="2" a="1"/>
  <c r="A39" i="2" a="1"/>
  <c r="A40" i="2" a="1"/>
  <c r="A41" i="2" a="1"/>
  <c r="A42" i="2" a="1"/>
  <c r="A43" i="2" a="1"/>
  <c r="A44" i="2" a="1"/>
  <c r="A45" i="2" a="1"/>
  <c r="A46" i="2" a="1"/>
  <c r="A47" i="2" a="1"/>
  <c r="A48" i="2" a="1"/>
  <c r="A49" i="2" a="1"/>
  <c r="A50" i="2" a="1"/>
  <c r="A51" i="2" a="1"/>
  <c r="A52" i="2" a="1"/>
  <c r="A53" i="2" a="1"/>
  <c r="A54" i="2" a="1"/>
  <c r="A55" i="2" a="1"/>
  <c r="A56" i="2" a="1"/>
  <c r="A57" i="2" a="1"/>
  <c r="A58" i="2" a="1"/>
  <c r="A59" i="2" a="1"/>
  <c r="A60" i="2" a="1"/>
  <c r="A61" i="2" a="1"/>
  <c r="A62" i="2" a="1"/>
  <c r="A63" i="2" a="1"/>
  <c r="A64" i="2" a="1"/>
  <c r="A65" i="2" a="1"/>
  <c r="A66" i="2" a="1"/>
  <c r="A67" i="2" a="1"/>
  <c r="A68" i="2" a="1"/>
  <c r="A69" i="2" a="1"/>
  <c r="A70" i="2" a="1"/>
  <c r="A71" i="2" a="1"/>
  <c r="A72" i="2" a="1"/>
  <c r="A73" i="2" a="1"/>
  <c r="A74" i="2" a="1"/>
  <c r="A75" i="2" a="1"/>
  <c r="A76" i="2" a="1"/>
  <c r="A77" i="2" a="1"/>
  <c r="A78" i="2" a="1"/>
  <c r="A79" i="2" a="1"/>
  <c r="A80" i="2" a="1"/>
  <c r="A81" i="2" a="1"/>
  <c r="A82" i="2" a="1"/>
  <c r="A83" i="2" a="1"/>
  <c r="A84" i="2" a="1"/>
  <c r="A85" i="2" a="1"/>
  <c r="A86" i="2" a="1"/>
  <c r="A87" i="2" a="1"/>
  <c r="A88" i="2" a="1"/>
  <c r="A89" i="2" a="1"/>
  <c r="A90" i="2" a="1"/>
  <c r="A91" i="2" a="1"/>
  <c r="A92" i="2" a="1"/>
  <c r="A93" i="2" a="1"/>
  <c r="A94" i="2" a="1"/>
  <c r="A95" i="2" a="1"/>
  <c r="A96" i="2" a="1"/>
  <c r="A97" i="2" a="1"/>
  <c r="A98" i="2" a="1"/>
  <c r="A99" i="2" a="1"/>
  <c r="A100" i="2" a="1"/>
  <c r="A101" i="2" a="1"/>
  <c r="A102" i="2" a="1"/>
  <c r="A103" i="2" a="1"/>
  <c r="A104" i="2" a="1"/>
  <c r="A105" i="2" a="1"/>
  <c r="A106" i="2" a="1"/>
  <c r="A107" i="2" a="1"/>
  <c r="A108" i="2" a="1"/>
  <c r="A109" i="2" a="1"/>
  <c r="A110" i="2" a="1"/>
  <c r="A111" i="2" a="1"/>
  <c r="A112" i="2" a="1"/>
  <c r="A113" i="2" a="1"/>
  <c r="A114" i="2" a="1"/>
  <c r="A115" i="2" a="1"/>
  <c r="A116" i="2" a="1"/>
  <c r="A117" i="2" a="1"/>
  <c r="A118" i="2" a="1"/>
  <c r="A119" i="2" a="1"/>
  <c r="A120" i="2" a="1"/>
  <c r="A121" i="2" a="1"/>
  <c r="A122" i="2" a="1"/>
  <c r="A123" i="2" a="1"/>
  <c r="A124" i="2" a="1"/>
  <c r="A125" i="2" a="1"/>
  <c r="A126" i="2" a="1"/>
  <c r="A127" i="2" a="1"/>
  <c r="A128" i="2" a="1"/>
  <c r="A129" i="2" a="1"/>
  <c r="A130" i="2" a="1"/>
  <c r="A131" i="2" a="1"/>
  <c r="A132" i="2" a="1"/>
  <c r="A133" i="2" a="1"/>
  <c r="A134" i="2" a="1"/>
  <c r="A135" i="2" a="1"/>
  <c r="A136" i="2" a="1"/>
  <c r="A137" i="2" a="1"/>
  <c r="A138" i="2" a="1"/>
  <c r="A139" i="2" a="1"/>
  <c r="A140" i="2" a="1"/>
  <c r="A141" i="2" a="1"/>
  <c r="A142" i="2" a="1"/>
  <c r="A143" i="2" a="1"/>
  <c r="A144" i="2" a="1"/>
  <c r="A145" i="2" a="1"/>
  <c r="A146" i="2" a="1"/>
  <c r="A147" i="2" a="1"/>
  <c r="A148" i="2" a="1"/>
  <c r="A149" i="2" a="1"/>
  <c r="A150" i="2" a="1"/>
  <c r="A151" i="2" a="1"/>
  <c r="A152" i="2" a="1"/>
  <c r="A153" i="2" a="1"/>
  <c r="A154" i="2" a="1"/>
  <c r="A155" i="2" a="1"/>
  <c r="A156" i="2" a="1"/>
  <c r="A157" i="2" a="1"/>
  <c r="A158" i="2" a="1"/>
  <c r="A159" i="2" a="1"/>
  <c r="A160" i="2" a="1"/>
  <c r="A161" i="2" a="1"/>
  <c r="A162" i="2" a="1"/>
  <c r="A163" i="2" a="1"/>
  <c r="A164" i="2" a="1"/>
  <c r="A165" i="2" a="1"/>
  <c r="A166" i="2" a="1"/>
  <c r="A167" i="2" a="1"/>
  <c r="A168" i="2" a="1"/>
  <c r="A169" i="2" a="1"/>
  <c r="A170" i="2" a="1"/>
  <c r="A171" i="2" a="1"/>
  <c r="A172" i="2" a="1"/>
  <c r="A173" i="2" a="1"/>
  <c r="A174" i="2" a="1"/>
  <c r="A175" i="2" a="1"/>
  <c r="A176" i="2" a="1"/>
  <c r="A177" i="2" a="1"/>
  <c r="A178" i="2" a="1"/>
  <c r="A179" i="2" a="1"/>
  <c r="A180" i="2" a="1"/>
  <c r="A181" i="2" a="1"/>
  <c r="A182" i="2" a="1"/>
  <c r="A183" i="2" a="1"/>
  <c r="A184" i="2" a="1"/>
  <c r="A185" i="2" a="1"/>
  <c r="A186" i="2" a="1"/>
  <c r="A187" i="2" a="1"/>
  <c r="A188" i="2" a="1"/>
  <c r="A189" i="2" a="1"/>
  <c r="A190" i="2" a="1"/>
  <c r="A191" i="2" a="1"/>
  <c r="A192" i="2" a="1"/>
  <c r="A193" i="2" a="1"/>
  <c r="A194" i="2" a="1"/>
  <c r="A195" i="2" a="1"/>
  <c r="A196" i="2" a="1"/>
  <c r="A197" i="2" a="1"/>
  <c r="A198" i="2" a="1"/>
  <c r="A199" i="2" a="1"/>
  <c r="A200" i="2" a="1"/>
  <c r="A201" i="2" a="1"/>
  <c r="A202" i="2" a="1"/>
  <c r="A203" i="2" a="1"/>
  <c r="A204" i="2" a="1"/>
  <c r="A205" i="2" a="1"/>
  <c r="A206" i="2" a="1"/>
  <c r="A207" i="2" a="1"/>
  <c r="A208" i="2" a="1"/>
  <c r="A209" i="2" a="1"/>
  <c r="A210" i="2" a="1"/>
  <c r="A211" i="2" a="1"/>
  <c r="A212" i="2" a="1"/>
  <c r="A213" i="2" a="1"/>
  <c r="A214" i="2" a="1"/>
  <c r="A215" i="2" a="1"/>
  <c r="A216" i="2" a="1"/>
  <c r="A217" i="2" a="1"/>
  <c r="A218" i="2" a="1"/>
  <c r="A219" i="2" a="1"/>
  <c r="A220" i="2" a="1"/>
  <c r="A221" i="2" a="1"/>
  <c r="A222" i="2" a="1"/>
  <c r="A223" i="2" a="1"/>
  <c r="A224" i="2" a="1"/>
  <c r="A225" i="2" a="1"/>
  <c r="A226" i="2" a="1"/>
  <c r="A227" i="2" a="1"/>
  <c r="A228" i="2" a="1"/>
  <c r="A229" i="2" a="1"/>
  <c r="A230" i="2" a="1"/>
  <c r="A231" i="2" a="1"/>
  <c r="A232" i="2" a="1"/>
  <c r="A233" i="2" a="1"/>
  <c r="A234" i="2" a="1"/>
  <c r="A235" i="2" a="1"/>
  <c r="A236" i="2" a="1"/>
  <c r="A237" i="2" a="1"/>
  <c r="A238" i="2" a="1"/>
  <c r="A239" i="2" a="1"/>
  <c r="A240" i="2" a="1"/>
  <c r="A241" i="2" a="1"/>
  <c r="A242" i="2" a="1"/>
  <c r="A243" i="2" a="1"/>
  <c r="A244" i="2" a="1"/>
  <c r="A245" i="2" a="1"/>
  <c r="A246" i="2" a="1"/>
  <c r="A247" i="2" a="1"/>
  <c r="A248" i="2" a="1"/>
  <c r="A249" i="2" a="1"/>
  <c r="A250" i="2" a="1"/>
  <c r="A251" i="2" a="1"/>
  <c r="A252" i="2" a="1"/>
  <c r="A253" i="2" a="1"/>
  <c r="A254" i="2" a="1"/>
  <c r="A255" i="2" a="1"/>
  <c r="A256" i="2" a="1"/>
  <c r="A257" i="2" a="1"/>
  <c r="A258" i="2" a="1"/>
  <c r="A259" i="2" a="1"/>
  <c r="A260" i="2" a="1"/>
  <c r="A261" i="2" a="1"/>
  <c r="A262" i="2" a="1"/>
  <c r="A263" i="2" a="1"/>
  <c r="A264" i="2" a="1"/>
  <c r="A265" i="2" a="1"/>
  <c r="A266" i="2" a="1"/>
  <c r="A267" i="2" a="1"/>
  <c r="A268" i="2" a="1"/>
  <c r="A269" i="2" a="1"/>
  <c r="A270" i="2" a="1"/>
  <c r="A271" i="2" a="1"/>
  <c r="A272" i="2" a="1"/>
  <c r="A273" i="2" a="1"/>
  <c r="A274" i="2" a="1"/>
  <c r="A275" i="2" a="1"/>
  <c r="A276" i="2" a="1"/>
  <c r="A277" i="2" a="1"/>
  <c r="A278" i="2" a="1"/>
  <c r="A279" i="2" a="1"/>
  <c r="A280" i="2" a="1"/>
  <c r="A281" i="2" a="1"/>
  <c r="A282" i="2" a="1"/>
  <c r="A283" i="2" a="1"/>
  <c r="A284" i="2" a="1"/>
  <c r="A285" i="2" a="1"/>
  <c r="A286" i="2" a="1"/>
  <c r="A287" i="2" a="1"/>
  <c r="A288" i="2" a="1"/>
  <c r="A289" i="2" a="1"/>
  <c r="A290" i="2" a="1"/>
  <c r="A291" i="2" a="1"/>
  <c r="A292" i="2" a="1"/>
  <c r="A293" i="2" a="1"/>
  <c r="A294" i="2" a="1"/>
  <c r="A295" i="2" a="1"/>
  <c r="A296" i="2" a="1"/>
  <c r="A297" i="2" a="1"/>
  <c r="A298" i="2" a="1"/>
  <c r="A299" i="2" a="1"/>
  <c r="A300" i="2" a="1"/>
  <c r="A301" i="2" a="1"/>
  <c r="A302" i="2" a="1"/>
  <c r="A303" i="2" a="1"/>
  <c r="A304" i="2" a="1"/>
  <c r="A305" i="2" a="1"/>
  <c r="A306" i="2" a="1"/>
  <c r="A307" i="2" a="1"/>
  <c r="A308" i="2" a="1"/>
  <c r="A309" i="2" a="1"/>
  <c r="A310" i="2" a="1"/>
  <c r="A311" i="2" a="1"/>
  <c r="A312" i="2" a="1"/>
  <c r="A313" i="2" a="1"/>
  <c r="A314" i="2" a="1"/>
  <c r="A315" i="2" a="1"/>
  <c r="A316" i="2" a="1"/>
  <c r="A317" i="2" a="1"/>
  <c r="A318" i="2" a="1"/>
  <c r="A319" i="2" a="1"/>
  <c r="A320" i="2" a="1"/>
  <c r="A321" i="2" a="1"/>
  <c r="A322" i="2" a="1"/>
  <c r="A323" i="2" a="1"/>
  <c r="A324" i="2" a="1"/>
  <c r="A325" i="2" a="1"/>
  <c r="A326" i="2" a="1"/>
  <c r="A327" i="2" a="1"/>
  <c r="A328" i="2" a="1"/>
  <c r="A329" i="2" a="1"/>
  <c r="A330" i="2" a="1"/>
  <c r="A331" i="2" a="1"/>
  <c r="A332" i="2" a="1"/>
  <c r="A333" i="2" a="1"/>
  <c r="A334" i="2" a="1"/>
  <c r="A335" i="2" a="1"/>
  <c r="A336" i="2" a="1"/>
  <c r="A337" i="2" a="1"/>
  <c r="A338" i="2" a="1"/>
  <c r="A339" i="2" a="1"/>
  <c r="A340" i="2" a="1"/>
  <c r="A341" i="2" a="1"/>
  <c r="A342" i="2" a="1"/>
  <c r="A343" i="2" a="1"/>
  <c r="A344" i="2" a="1"/>
  <c r="A345" i="2" a="1"/>
  <c r="A346" i="2" a="1"/>
  <c r="A347" i="2" a="1"/>
  <c r="A348" i="2" a="1"/>
  <c r="A349" i="2" a="1"/>
  <c r="A350" i="2" a="1"/>
  <c r="A351" i="2" a="1"/>
  <c r="A352" i="2" a="1"/>
  <c r="A353" i="2" a="1"/>
  <c r="A354" i="2" a="1"/>
  <c r="A355" i="2" a="1"/>
  <c r="A356" i="2" a="1"/>
  <c r="A357" i="2" a="1"/>
  <c r="A358" i="2" a="1"/>
  <c r="A359" i="2" a="1"/>
  <c r="A360" i="2" a="1"/>
  <c r="A361" i="2" a="1"/>
  <c r="A362" i="2" a="1"/>
  <c r="A363" i="2" a="1"/>
  <c r="A364" i="2" a="1"/>
  <c r="A365" i="2" a="1"/>
  <c r="A366" i="2" a="1"/>
  <c r="A367" i="2" a="1"/>
  <c r="A368" i="2" a="1"/>
  <c r="A369" i="2" a="1"/>
  <c r="A370" i="2" a="1"/>
  <c r="A371" i="2" a="1"/>
  <c r="A372" i="2" a="1"/>
  <c r="A373" i="2" a="1"/>
  <c r="A374" i="2" a="1"/>
  <c r="A375" i="2" a="1"/>
  <c r="A376" i="2" a="1"/>
  <c r="A377" i="2" a="1"/>
  <c r="A378" i="2" a="1"/>
  <c r="A379" i="2" a="1"/>
  <c r="A380" i="2" a="1"/>
  <c r="A381" i="2" a="1"/>
  <c r="A382" i="2" a="1"/>
  <c r="A383" i="2" a="1"/>
  <c r="A384" i="2" a="1"/>
  <c r="A385" i="2" a="1"/>
  <c r="A386" i="2" a="1"/>
  <c r="A387" i="2" a="1"/>
  <c r="A388" i="2" a="1"/>
  <c r="A389" i="2" a="1"/>
  <c r="A390" i="2" a="1"/>
  <c r="A391" i="2" a="1"/>
  <c r="A392" i="2" a="1"/>
  <c r="A393" i="2" a="1"/>
  <c r="A394" i="2" a="1"/>
  <c r="A395" i="2" a="1"/>
  <c r="A396" i="2" a="1"/>
  <c r="A397" i="2" a="1"/>
  <c r="A398" i="2" a="1"/>
  <c r="A399" i="2" a="1"/>
  <c r="A400" i="2" a="1"/>
  <c r="A401" i="2" a="1"/>
  <c r="A402" i="2" a="1"/>
  <c r="A403" i="2" a="1"/>
  <c r="A404" i="2" a="1"/>
  <c r="A405" i="2" a="1"/>
  <c r="A406" i="2" a="1"/>
  <c r="A407" i="2" a="1"/>
  <c r="A408" i="2" a="1"/>
  <c r="A409" i="2" a="1"/>
  <c r="A410" i="2" a="1"/>
  <c r="A411" i="2" a="1"/>
  <c r="A412" i="2" a="1"/>
  <c r="A413" i="2" a="1"/>
  <c r="A414" i="2" a="1"/>
  <c r="A415" i="2" a="1"/>
  <c r="A416" i="2" a="1"/>
  <c r="A417" i="2" a="1"/>
  <c r="A418" i="2" a="1"/>
  <c r="A419" i="2" a="1"/>
  <c r="A420" i="2" a="1"/>
  <c r="A421" i="2" a="1"/>
  <c r="A422" i="2" a="1"/>
  <c r="A423" i="2" a="1"/>
  <c r="A424" i="2" a="1"/>
  <c r="A425" i="2" a="1"/>
  <c r="A426" i="2" a="1"/>
  <c r="A427" i="2" a="1"/>
  <c r="A428" i="2" a="1"/>
  <c r="A429" i="2" a="1"/>
  <c r="A430" i="2" a="1"/>
  <c r="A431" i="2" a="1"/>
  <c r="A432" i="2" a="1"/>
  <c r="A433" i="2" a="1"/>
  <c r="A434" i="2" a="1"/>
  <c r="A435" i="2" a="1"/>
  <c r="A436" i="2" a="1"/>
  <c r="A437" i="2" a="1"/>
  <c r="A438" i="2" a="1"/>
  <c r="A439" i="2" a="1"/>
  <c r="A440" i="2" a="1"/>
  <c r="A441" i="2" a="1"/>
  <c r="A442" i="2" a="1"/>
  <c r="A443" i="2" a="1"/>
  <c r="A444" i="2" a="1"/>
  <c r="A445" i="2" a="1"/>
  <c r="A446" i="2" a="1"/>
  <c r="A447" i="2" a="1"/>
  <c r="A448" i="2" a="1"/>
  <c r="A449" i="2" a="1"/>
  <c r="A450" i="2" a="1"/>
  <c r="A451" i="2" a="1"/>
  <c r="A452" i="2" a="1"/>
  <c r="A453" i="2" a="1"/>
  <c r="A454" i="2" a="1"/>
  <c r="A455" i="2" a="1"/>
  <c r="A456" i="2" a="1"/>
  <c r="A457" i="2" a="1"/>
  <c r="A458" i="2" a="1"/>
  <c r="A459" i="2" a="1"/>
  <c r="A460" i="2" a="1"/>
  <c r="A461" i="2" a="1"/>
  <c r="A462" i="2" a="1"/>
  <c r="A463" i="2" a="1"/>
  <c r="A464" i="2" a="1"/>
  <c r="A465" i="2" a="1"/>
  <c r="A466" i="2" a="1"/>
  <c r="A467" i="2" a="1"/>
  <c r="A468" i="2" a="1"/>
  <c r="A469" i="2" a="1"/>
  <c r="A470" i="2" a="1"/>
  <c r="A471" i="2" a="1"/>
  <c r="A472" i="2" a="1"/>
  <c r="A473" i="2" a="1"/>
  <c r="A474" i="2" a="1"/>
  <c r="A475" i="2" a="1"/>
  <c r="A476" i="2" a="1"/>
  <c r="A477" i="2" a="1"/>
  <c r="A478" i="2" a="1"/>
  <c r="A479" i="2" a="1"/>
  <c r="A480" i="2" a="1"/>
  <c r="A481" i="2" a="1"/>
  <c r="A482" i="2" a="1"/>
  <c r="A483" i="2" a="1"/>
  <c r="A484" i="2" a="1"/>
  <c r="A485" i="2" a="1"/>
  <c r="A486" i="2" a="1"/>
  <c r="A487" i="2" a="1"/>
  <c r="A488" i="2" a="1"/>
  <c r="A489" i="2" a="1"/>
  <c r="A490" i="2" a="1"/>
  <c r="A491" i="2" a="1"/>
  <c r="A492" i="2" a="1"/>
  <c r="A493" i="2" a="1"/>
  <c r="A494" i="2" a="1"/>
  <c r="A495" i="2" a="1"/>
  <c r="A496" i="2" a="1"/>
  <c r="A497" i="2" a="1"/>
  <c r="A498" i="2" a="1"/>
  <c r="A499" i="2" a="1"/>
  <c r="A500" i="2" a="1"/>
  <c r="A501" i="2" a="1"/>
  <c r="A502" i="2" a="1"/>
  <c r="A503" i="2" a="1"/>
  <c r="A504" i="2" a="1"/>
  <c r="A505" i="2" a="1"/>
  <c r="A506" i="2" a="1"/>
  <c r="A507" i="2" a="1"/>
  <c r="A508" i="2" a="1"/>
  <c r="A509" i="2" a="1"/>
  <c r="A510" i="2" a="1"/>
  <c r="A511" i="2" a="1"/>
  <c r="A512" i="2" a="1"/>
  <c r="A513" i="2" a="1"/>
  <c r="A514" i="2" a="1"/>
  <c r="A515" i="2" a="1"/>
  <c r="A516" i="2" a="1"/>
  <c r="A517" i="2" a="1"/>
  <c r="A518" i="2" a="1"/>
  <c r="A519" i="2" a="1"/>
  <c r="A520" i="2" a="1"/>
  <c r="A521" i="2" a="1"/>
  <c r="A522" i="2" a="1"/>
  <c r="A523" i="2" a="1"/>
  <c r="A524" i="2" a="1"/>
  <c r="A525" i="2" a="1"/>
  <c r="A526" i="2" a="1"/>
  <c r="A527" i="2" a="1"/>
  <c r="A528" i="2" a="1"/>
  <c r="A529" i="2" a="1"/>
  <c r="A530" i="2" a="1"/>
  <c r="A531" i="2" a="1"/>
  <c r="A532" i="2" a="1"/>
  <c r="A533" i="2" a="1"/>
  <c r="A534" i="2" a="1"/>
  <c r="A535" i="2" a="1"/>
  <c r="A536" i="2" a="1"/>
  <c r="A537" i="2" a="1"/>
  <c r="A538" i="2" a="1"/>
  <c r="A539" i="2" a="1"/>
  <c r="A540" i="2" a="1"/>
  <c r="A541" i="2" a="1"/>
  <c r="A542" i="2" a="1"/>
  <c r="A543" i="2" a="1"/>
  <c r="A544" i="2" a="1"/>
  <c r="A545" i="2" a="1"/>
  <c r="A546" i="2" a="1"/>
  <c r="A547" i="2" a="1"/>
  <c r="A548" i="2" a="1"/>
  <c r="A549" i="2" a="1"/>
  <c r="A550" i="2" a="1"/>
  <c r="A551" i="2" a="1"/>
  <c r="A552" i="2" a="1"/>
  <c r="A553" i="2" a="1"/>
  <c r="A554" i="2" a="1"/>
  <c r="A555" i="2" a="1"/>
  <c r="A556" i="2" a="1"/>
  <c r="A557" i="2" a="1"/>
  <c r="A558" i="2" a="1"/>
  <c r="A559" i="2" a="1"/>
  <c r="A560" i="2" a="1"/>
  <c r="A561" i="2" a="1"/>
  <c r="A562" i="2" a="1"/>
  <c r="A563" i="2" a="1"/>
  <c r="A564" i="2" a="1"/>
  <c r="A565" i="2" a="1"/>
  <c r="A566" i="2" a="1"/>
  <c r="A567" i="2" a="1"/>
  <c r="A568" i="2" a="1"/>
  <c r="A569" i="2" a="1"/>
  <c r="A570" i="2" a="1"/>
  <c r="A571" i="2" a="1"/>
  <c r="A572" i="2" a="1"/>
  <c r="A573" i="2" a="1"/>
  <c r="A574" i="2" a="1"/>
  <c r="A575" i="2" a="1"/>
  <c r="A576" i="2" a="1"/>
  <c r="A577" i="2" a="1"/>
  <c r="A578" i="2" a="1"/>
  <c r="A579" i="2" a="1"/>
  <c r="A580" i="2" a="1"/>
  <c r="A581" i="2" a="1"/>
  <c r="A582" i="2" a="1"/>
  <c r="A583" i="2" a="1"/>
  <c r="A584" i="2" a="1"/>
  <c r="A585" i="2" a="1"/>
  <c r="A586" i="2" a="1"/>
  <c r="A587" i="2" a="1"/>
  <c r="A588" i="2" a="1"/>
  <c r="A589" i="2" a="1"/>
  <c r="A590" i="2" a="1"/>
  <c r="A591" i="2" a="1"/>
  <c r="A592" i="2" a="1"/>
  <c r="A593" i="2" a="1"/>
  <c r="A594" i="2" a="1"/>
  <c r="A595" i="2" a="1"/>
  <c r="A596" i="2" a="1"/>
  <c r="A597" i="2" a="1"/>
  <c r="A598" i="2" a="1"/>
  <c r="A599" i="2" a="1"/>
  <c r="A600" i="2" a="1"/>
  <c r="A601" i="2" a="1"/>
  <c r="A602" i="2" a="1"/>
  <c r="A603" i="2" a="1"/>
  <c r="A604" i="2" a="1"/>
  <c r="A605" i="2" a="1"/>
  <c r="A606" i="2" a="1"/>
  <c r="A607" i="2" a="1"/>
  <c r="A608" i="2" a="1"/>
  <c r="A609" i="2" a="1"/>
  <c r="A610" i="2" a="1"/>
  <c r="A611" i="2" a="1"/>
  <c r="A612" i="2" a="1"/>
  <c r="A613" i="2" a="1"/>
  <c r="A614" i="2" a="1"/>
  <c r="A615" i="2" a="1"/>
  <c r="A616" i="2" a="1"/>
  <c r="A617" i="2" a="1"/>
  <c r="A618" i="2" a="1"/>
  <c r="A619" i="2" a="1"/>
  <c r="A620" i="2" a="1"/>
  <c r="A621" i="2" a="1"/>
  <c r="A622" i="2" a="1"/>
  <c r="A623" i="2" a="1"/>
  <c r="A624" i="2" a="1"/>
  <c r="A625" i="2" a="1"/>
  <c r="A626" i="2" a="1"/>
  <c r="A627" i="2" a="1"/>
  <c r="A628" i="2" a="1"/>
  <c r="A629" i="2" a="1"/>
  <c r="A630" i="2" a="1"/>
  <c r="A631" i="2" a="1"/>
  <c r="A632" i="2" a="1"/>
  <c r="A633" i="2" a="1"/>
  <c r="A634" i="2" a="1"/>
  <c r="A635" i="2" a="1"/>
  <c r="A636" i="2" a="1"/>
  <c r="A637" i="2" a="1"/>
  <c r="A638" i="2" a="1"/>
  <c r="A639" i="2" a="1"/>
  <c r="A640" i="2" a="1"/>
  <c r="A641" i="2" a="1"/>
  <c r="A642" i="2" a="1"/>
  <c r="A643" i="2" a="1"/>
  <c r="A644" i="2" a="1"/>
  <c r="A645" i="2" a="1"/>
  <c r="A646" i="2" a="1"/>
  <c r="A647" i="2" a="1"/>
  <c r="A648" i="2" a="1"/>
  <c r="A649" i="2" a="1"/>
  <c r="A650" i="2" a="1"/>
  <c r="A651" i="2" a="1"/>
  <c r="A652" i="2" a="1"/>
  <c r="A653" i="2" a="1"/>
  <c r="A654" i="2" a="1"/>
  <c r="A655" i="2" a="1"/>
  <c r="A656" i="2" a="1"/>
  <c r="A657" i="2" a="1"/>
  <c r="A658" i="2" a="1"/>
  <c r="A659" i="2" a="1"/>
  <c r="A660" i="2" a="1"/>
  <c r="A661" i="2" a="1"/>
  <c r="A662" i="2" a="1"/>
  <c r="A663" i="2" a="1"/>
  <c r="A664" i="2" a="1"/>
  <c r="A665" i="2" a="1"/>
  <c r="A666" i="2" a="1"/>
  <c r="A667" i="2" a="1"/>
  <c r="A668" i="2" a="1"/>
  <c r="A669" i="2" a="1"/>
  <c r="A670" i="2" a="1"/>
  <c r="A671" i="2" a="1"/>
  <c r="A672" i="2" a="1"/>
  <c r="A673" i="2" a="1"/>
  <c r="A674" i="2" a="1"/>
  <c r="A675" i="2" a="1"/>
  <c r="A676" i="2" a="1"/>
  <c r="A677" i="2" a="1"/>
  <c r="A678" i="2" a="1"/>
  <c r="A679" i="2" a="1"/>
  <c r="A680" i="2" a="1"/>
  <c r="A681" i="2" a="1"/>
  <c r="A682" i="2" a="1"/>
  <c r="A683" i="2" a="1"/>
  <c r="A684" i="2" a="1"/>
  <c r="A685" i="2" a="1"/>
  <c r="A686" i="2" a="1"/>
  <c r="A687" i="2" a="1"/>
  <c r="A688" i="2" a="1"/>
  <c r="A689" i="2" a="1"/>
  <c r="A690" i="2" a="1"/>
  <c r="A691" i="2" a="1"/>
  <c r="A692" i="2" a="1"/>
  <c r="A693" i="2" a="1"/>
  <c r="A694" i="2" a="1"/>
  <c r="A695" i="2" a="1"/>
  <c r="A696" i="2" a="1"/>
  <c r="A697" i="2" a="1"/>
  <c r="A698" i="2" a="1"/>
  <c r="A699" i="2" a="1"/>
  <c r="A700" i="2" a="1"/>
  <c r="A701" i="2" a="1"/>
  <c r="A702" i="2" a="1"/>
  <c r="A703" i="2" a="1"/>
  <c r="A704" i="2" a="1"/>
  <c r="A705" i="2" a="1"/>
  <c r="A706" i="2" a="1"/>
  <c r="A707" i="2" a="1"/>
  <c r="A708" i="2" a="1"/>
  <c r="A709" i="2" a="1"/>
  <c r="A710" i="2" a="1"/>
  <c r="A711" i="2" a="1"/>
  <c r="A712" i="2" a="1"/>
  <c r="A713" i="2" a="1"/>
  <c r="A714" i="2" a="1"/>
  <c r="A715" i="2" a="1"/>
  <c r="A716" i="2" a="1"/>
  <c r="A717" i="2" a="1"/>
  <c r="A718" i="2" a="1"/>
  <c r="A719" i="2" a="1"/>
  <c r="A720" i="2" a="1"/>
  <c r="A721" i="2" a="1"/>
  <c r="A722" i="2" a="1"/>
  <c r="A723" i="2" a="1"/>
  <c r="A724" i="2" a="1"/>
  <c r="A725" i="2" a="1"/>
  <c r="A726" i="2" a="1"/>
  <c r="A727" i="2" a="1"/>
  <c r="A728" i="2" a="1"/>
  <c r="A729" i="2" a="1"/>
  <c r="A730" i="2" a="1"/>
  <c r="A731" i="2" a="1"/>
  <c r="A732" i="2" a="1"/>
  <c r="A733" i="2" a="1"/>
  <c r="A734" i="2" a="1"/>
  <c r="A735" i="2" a="1"/>
  <c r="A736" i="2" a="1"/>
  <c r="A737" i="2" a="1"/>
  <c r="A738" i="2" a="1"/>
  <c r="A739" i="2" a="1"/>
  <c r="A740" i="2" a="1"/>
  <c r="A741" i="2" a="1"/>
  <c r="A742" i="2" a="1"/>
  <c r="A743" i="2" a="1"/>
  <c r="A744" i="2" a="1"/>
  <c r="A745" i="2" a="1"/>
  <c r="A746" i="2" a="1"/>
  <c r="A747" i="2" a="1"/>
  <c r="A748" i="2" a="1"/>
  <c r="A749" i="2" a="1"/>
  <c r="A750" i="2" a="1"/>
  <c r="A751" i="2" a="1"/>
  <c r="A752" i="2" a="1"/>
  <c r="A753" i="2" a="1"/>
  <c r="A754" i="2" a="1"/>
  <c r="A755" i="2" a="1"/>
  <c r="A756" i="2" a="1"/>
  <c r="A757" i="2" a="1"/>
  <c r="A758" i="2" a="1"/>
  <c r="A759" i="2" a="1"/>
  <c r="A760" i="2" a="1"/>
  <c r="A761" i="2" a="1"/>
  <c r="A762" i="2" a="1"/>
  <c r="A763" i="2" a="1"/>
  <c r="A764" i="2" a="1"/>
  <c r="A765" i="2" a="1"/>
  <c r="A766" i="2" a="1"/>
  <c r="A767" i="2" a="1"/>
  <c r="A768" i="2" a="1"/>
  <c r="A769" i="2" a="1"/>
  <c r="A770" i="2" a="1"/>
  <c r="A771" i="2" a="1"/>
  <c r="A772" i="2" a="1"/>
  <c r="A773" i="2" a="1"/>
  <c r="A774" i="2" a="1"/>
  <c r="A775" i="2" a="1"/>
  <c r="A776" i="2" a="1"/>
  <c r="A777" i="2" a="1"/>
  <c r="A778" i="2" a="1"/>
  <c r="A779" i="2" a="1"/>
  <c r="A780" i="2" a="1"/>
  <c r="A781" i="2" a="1"/>
  <c r="A782" i="2" a="1"/>
  <c r="A783" i="2" a="1"/>
  <c r="A784" i="2" a="1"/>
  <c r="A785" i="2" a="1"/>
  <c r="A786" i="2" a="1"/>
  <c r="A787" i="2" a="1"/>
  <c r="A788" i="2" a="1"/>
  <c r="A789" i="2" a="1"/>
  <c r="A790" i="2" a="1"/>
  <c r="A791" i="2" a="1"/>
  <c r="A792" i="2" a="1"/>
  <c r="A793" i="2" a="1"/>
  <c r="A794" i="2" a="1"/>
  <c r="A795" i="2" a="1"/>
  <c r="A796" i="2" a="1"/>
  <c r="A797" i="2" a="1"/>
  <c r="A798" i="2" a="1"/>
  <c r="A799" i="2" a="1"/>
  <c r="A800" i="2" a="1"/>
  <c r="A801" i="2" a="1"/>
  <c r="A802" i="2" a="1"/>
  <c r="A803" i="2" a="1"/>
  <c r="A804" i="2" a="1"/>
  <c r="A805" i="2" a="1"/>
  <c r="A806" i="2" a="1"/>
  <c r="A807" i="2" a="1"/>
  <c r="A808" i="2" a="1"/>
  <c r="A809" i="2" a="1"/>
  <c r="A810" i="2" a="1"/>
  <c r="A811" i="2" a="1"/>
  <c r="A812" i="2" a="1"/>
  <c r="A813" i="2" a="1"/>
  <c r="A814" i="2" a="1"/>
  <c r="A815" i="2" a="1"/>
  <c r="A816" i="2" a="1"/>
  <c r="A817" i="2" a="1"/>
  <c r="A818" i="2" a="1"/>
  <c r="A819" i="2" a="1"/>
  <c r="A820" i="2" a="1"/>
  <c r="A821" i="2" a="1"/>
  <c r="A822" i="2" a="1"/>
  <c r="A823" i="2" a="1"/>
  <c r="A824" i="2" a="1"/>
  <c r="A825" i="2" a="1"/>
  <c r="A826" i="2" a="1"/>
  <c r="A827" i="2" a="1"/>
  <c r="A828" i="2" a="1"/>
  <c r="A829" i="2" a="1"/>
  <c r="A830" i="2" a="1"/>
  <c r="A831" i="2" a="1"/>
  <c r="A832" i="2" a="1"/>
  <c r="A833" i="2" a="1"/>
  <c r="A834" i="2" a="1"/>
  <c r="A835" i="2" a="1"/>
  <c r="A836" i="2" a="1"/>
  <c r="A837" i="2" a="1"/>
  <c r="A838" i="2" a="1"/>
  <c r="A839" i="2" a="1"/>
  <c r="A840" i="2" a="1"/>
  <c r="A841" i="2" a="1"/>
  <c r="A842" i="2" a="1"/>
  <c r="A843" i="2" a="1"/>
  <c r="A844" i="2" a="1"/>
  <c r="A845" i="2" a="1"/>
  <c r="A846" i="2" a="1"/>
  <c r="A847" i="2" a="1"/>
  <c r="A848" i="2" a="1"/>
  <c r="A849" i="2" a="1"/>
  <c r="A850" i="2" a="1"/>
  <c r="A851" i="2" a="1"/>
  <c r="A852" i="2" a="1"/>
  <c r="A853" i="2" a="1"/>
  <c r="A854" i="2" a="1"/>
  <c r="A855" i="2" a="1"/>
  <c r="A856" i="2" a="1"/>
  <c r="A857" i="2" a="1"/>
  <c r="A858" i="2" a="1"/>
  <c r="A859" i="2" a="1"/>
  <c r="A860" i="2" a="1"/>
  <c r="A861" i="2" a="1"/>
  <c r="A862" i="2" a="1"/>
  <c r="A863" i="2" a="1"/>
  <c r="A864" i="2" a="1"/>
  <c r="A865" i="2" a="1"/>
  <c r="A866" i="2" a="1"/>
  <c r="A867" i="2" a="1"/>
  <c r="A868" i="2" a="1"/>
  <c r="A869" i="2" a="1"/>
  <c r="A870" i="2" a="1"/>
  <c r="A871" i="2" a="1"/>
  <c r="A872" i="2" a="1"/>
  <c r="A873" i="2" a="1"/>
  <c r="A874" i="2" a="1"/>
  <c r="A875" i="2" a="1"/>
  <c r="A876" i="2" a="1"/>
  <c r="A877" i="2" a="1"/>
  <c r="A878" i="2" a="1"/>
  <c r="A879" i="2" a="1"/>
  <c r="A880" i="2" a="1"/>
  <c r="A881" i="2" a="1"/>
  <c r="A882" i="2" a="1"/>
  <c r="A883" i="2" a="1"/>
  <c r="A884" i="2" a="1"/>
  <c r="A885" i="2" a="1"/>
  <c r="A886" i="2" a="1"/>
  <c r="A887" i="2" a="1"/>
  <c r="A888" i="2" a="1"/>
  <c r="A889" i="2" a="1"/>
  <c r="A890" i="2" a="1"/>
  <c r="A891" i="2" a="1"/>
  <c r="A892" i="2" a="1"/>
  <c r="A893" i="2" a="1"/>
  <c r="A894" i="2" a="1"/>
  <c r="A895" i="2" a="1"/>
  <c r="A896" i="2" a="1"/>
  <c r="A897" i="2" a="1"/>
  <c r="A898" i="2" a="1"/>
  <c r="A899" i="2" a="1"/>
  <c r="A900" i="2" a="1"/>
  <c r="A901" i="2" a="1"/>
  <c r="A902" i="2" a="1"/>
  <c r="A903" i="2" a="1"/>
  <c r="A904" i="2" a="1"/>
  <c r="A905" i="2" a="1"/>
  <c r="A906" i="2" a="1"/>
  <c r="A907" i="2" a="1"/>
  <c r="A908" i="2" a="1"/>
  <c r="A909" i="2" a="1"/>
  <c r="A910" i="2" a="1"/>
  <c r="A911" i="2" a="1"/>
  <c r="A912" i="2" a="1"/>
  <c r="A913" i="2" a="1"/>
  <c r="A914" i="2" a="1"/>
  <c r="A915" i="2" a="1"/>
  <c r="A916" i="2" a="1"/>
  <c r="A917" i="2" a="1"/>
  <c r="A918" i="2" a="1"/>
  <c r="A919" i="2" a="1"/>
  <c r="A920" i="2" a="1"/>
  <c r="A921" i="2" a="1"/>
  <c r="A922" i="2" a="1"/>
  <c r="A923" i="2" a="1"/>
  <c r="A924" i="2" a="1"/>
  <c r="A925" i="2" a="1"/>
  <c r="A926" i="2" a="1"/>
  <c r="A927" i="2" a="1"/>
  <c r="A928" i="2" a="1"/>
  <c r="A929" i="2" a="1"/>
  <c r="A930" i="2" a="1"/>
  <c r="A931" i="2" a="1"/>
  <c r="A932" i="2" a="1"/>
  <c r="A933" i="2" a="1"/>
  <c r="A934" i="2" a="1"/>
  <c r="A935" i="2" a="1"/>
  <c r="A936" i="2" a="1"/>
  <c r="A937" i="2" a="1"/>
  <c r="A938" i="2" a="1"/>
  <c r="A939" i="2" a="1"/>
  <c r="A940" i="2" a="1"/>
  <c r="A941" i="2" a="1"/>
  <c r="A942" i="2" a="1"/>
  <c r="A943" i="2" a="1"/>
  <c r="A944" i="2" a="1"/>
  <c r="A945" i="2" a="1"/>
  <c r="A946" i="2" a="1"/>
  <c r="A947" i="2" a="1"/>
  <c r="A948" i="2" a="1"/>
  <c r="A949" i="2" a="1"/>
  <c r="A950" i="2" a="1"/>
  <c r="A951" i="2" a="1"/>
  <c r="A952" i="2" a="1"/>
  <c r="A953" i="2" a="1"/>
  <c r="A954" i="2" a="1"/>
  <c r="A955" i="2" a="1"/>
  <c r="A956" i="2" a="1"/>
  <c r="A957" i="2" a="1"/>
  <c r="A958" i="2" a="1"/>
  <c r="A959" i="2" a="1"/>
  <c r="A960" i="2" a="1"/>
  <c r="A961" i="2" a="1"/>
  <c r="A962" i="2" a="1"/>
  <c r="A963" i="2" a="1"/>
  <c r="A964" i="2" a="1"/>
  <c r="A965" i="2" a="1"/>
  <c r="A966" i="2" a="1"/>
  <c r="A967" i="2" a="1"/>
  <c r="A968" i="2" a="1"/>
  <c r="A969" i="2" a="1"/>
  <c r="A970" i="2" a="1"/>
  <c r="A971" i="2" a="1"/>
  <c r="A972" i="2" a="1"/>
  <c r="A973" i="2" a="1"/>
  <c r="A974" i="2" a="1"/>
  <c r="A975" i="2" a="1"/>
  <c r="A976" i="2" a="1"/>
  <c r="A977" i="2" a="1"/>
  <c r="A978" i="2" a="1"/>
  <c r="A979" i="2" a="1"/>
  <c r="A980" i="2" a="1"/>
  <c r="A981" i="2" a="1"/>
  <c r="A982" i="2" a="1"/>
  <c r="A983" i="2" a="1"/>
  <c r="A984" i="2" a="1"/>
  <c r="A985" i="2" a="1"/>
  <c r="A986" i="2" a="1"/>
  <c r="A987" i="2" a="1"/>
  <c r="A988" i="2" a="1"/>
  <c r="A989" i="2" a="1"/>
  <c r="A990" i="2" a="1"/>
  <c r="A991" i="2" a="1"/>
  <c r="A992" i="2" a="1"/>
  <c r="A993" i="2" a="1"/>
  <c r="A994" i="2" a="1"/>
  <c r="A995" i="2" a="1"/>
  <c r="A996" i="2" a="1"/>
  <c r="A997" i="2" a="1"/>
  <c r="A998" i="2" a="1"/>
  <c r="A999" i="2" a="1"/>
  <c r="A1000" i="2" a="1"/>
  <c r="A1001" i="2" a="1"/>
  <c r="A1002" i="2" a="1"/>
  <c r="A1003" i="2" a="1"/>
  <c r="A1004" i="2" a="1"/>
  <c r="K5" i="5" a="1"/>
  <c r="C7" i="5"/>
  <c r="E15" i="5"/>
  <c r="E14" i="5"/>
  <c r="B19" i="3"/>
  <c r="R43" i="2" l="1" a="1"/>
  <c r="P43" i="2" a="1"/>
  <c r="Q43" i="2" a="1"/>
  <c r="P44" i="2" a="1"/>
  <c r="Q44" i="2" a="1"/>
  <c r="P45" i="2" a="1"/>
  <c r="Q45" i="2" a="1"/>
  <c r="P46" i="2" a="1"/>
  <c r="Q46" i="2" a="1"/>
  <c r="P47" i="2" a="1"/>
  <c r="Q47" i="2" a="1"/>
  <c r="P48" i="2" a="1"/>
  <c r="Q48" i="2" a="1"/>
  <c r="P49" i="2" a="1"/>
  <c r="Q49" i="2" a="1"/>
  <c r="P50" i="2" a="1"/>
  <c r="Q50" i="2" a="1"/>
  <c r="P51" i="2" a="1"/>
  <c r="Q51" i="2" a="1"/>
  <c r="R52" i="2" a="1"/>
  <c r="P52" i="2" a="1"/>
  <c r="Q52" i="2" a="1"/>
  <c r="R53" i="2" a="1"/>
  <c r="P53" i="2" a="1"/>
  <c r="Q53" i="2" a="1"/>
  <c r="R54" i="2" a="1"/>
  <c r="P54" i="2" a="1"/>
  <c r="Q54" i="2" a="1"/>
  <c r="R55" i="2" a="1"/>
  <c r="P55" i="2" a="1"/>
  <c r="Q55" i="2" a="1"/>
  <c r="R56" i="2" a="1"/>
  <c r="P56" i="2" a="1"/>
  <c r="Q56" i="2" a="1"/>
  <c r="R57" i="2" a="1"/>
  <c r="Q57" i="2" a="1"/>
  <c r="P57" i="2" a="1"/>
  <c r="R58" i="2" a="1"/>
  <c r="P58" i="2" a="1"/>
  <c r="Q58" i="2" a="1"/>
  <c r="R59" i="2" a="1"/>
  <c r="Q59" i="2" a="1"/>
  <c r="P59" i="2" a="1"/>
  <c r="R60" i="2" a="1"/>
  <c r="Q60" i="2" a="1"/>
  <c r="P60" i="2" a="1"/>
  <c r="R61" i="2" a="1"/>
  <c r="P61" i="2" a="1"/>
  <c r="Q61" i="2" a="1"/>
  <c r="R62" i="2" a="1"/>
  <c r="Q62" i="2" a="1"/>
  <c r="P62" i="2" a="1"/>
  <c r="R63" i="2" a="1"/>
  <c r="Q63" i="2" a="1"/>
  <c r="P63" i="2" a="1"/>
  <c r="R64" i="2" a="1"/>
  <c r="P64" i="2" a="1"/>
  <c r="Q64" i="2" a="1"/>
  <c r="R65" i="2" a="1"/>
  <c r="Q65" i="2" a="1"/>
  <c r="P65" i="2" a="1"/>
  <c r="R66" i="2" a="1"/>
  <c r="Q66" i="2" a="1"/>
  <c r="P66" i="2" a="1"/>
  <c r="R67" i="2" a="1"/>
  <c r="Q67" i="2" a="1"/>
  <c r="P67" i="2" a="1"/>
  <c r="R68" i="2" a="1"/>
  <c r="Q68" i="2" a="1"/>
  <c r="P68" i="2" a="1"/>
  <c r="R69" i="2" a="1"/>
  <c r="Q69" i="2" a="1"/>
  <c r="P69" i="2" a="1"/>
  <c r="R70" i="2" a="1"/>
  <c r="Q70" i="2" a="1"/>
  <c r="P70" i="2" a="1"/>
  <c r="R71" i="2" a="1"/>
  <c r="P71" i="2" a="1"/>
  <c r="Q71" i="2" a="1"/>
  <c r="R72" i="2" a="1"/>
  <c r="P72" i="2" a="1"/>
  <c r="Q72" i="2" a="1"/>
  <c r="R73" i="2" a="1"/>
  <c r="P73" i="2" a="1"/>
  <c r="Q73" i="2" a="1"/>
  <c r="R74" i="2" a="1"/>
  <c r="P74" i="2" a="1"/>
  <c r="Q74" i="2" a="1"/>
  <c r="R75" i="2" a="1"/>
  <c r="P75" i="2" a="1"/>
  <c r="Q75" i="2" a="1"/>
  <c r="R76" i="2" a="1"/>
  <c r="P76" i="2" a="1"/>
  <c r="Q76" i="2" a="1"/>
  <c r="R77" i="2" a="1"/>
  <c r="P77" i="2" a="1"/>
  <c r="Q77" i="2" a="1"/>
  <c r="R78" i="2" a="1"/>
  <c r="P78" i="2" a="1"/>
  <c r="Q78" i="2" a="1"/>
  <c r="R79" i="2" a="1"/>
  <c r="P79" i="2" a="1"/>
  <c r="Q79" i="2" a="1"/>
  <c r="R80" i="2" a="1"/>
  <c r="P80" i="2" a="1"/>
  <c r="Q80" i="2" a="1"/>
  <c r="R81" i="2" a="1"/>
  <c r="P81" i="2" a="1"/>
  <c r="Q81" i="2" a="1"/>
  <c r="R82" i="2" a="1"/>
  <c r="P82" i="2" a="1"/>
  <c r="Q82" i="2" a="1"/>
  <c r="R83" i="2" a="1"/>
  <c r="P83" i="2" a="1"/>
  <c r="Q83" i="2" a="1"/>
  <c r="R84" i="2" a="1"/>
  <c r="P84" i="2" a="1"/>
  <c r="Q84" i="2" a="1"/>
  <c r="R85" i="2" a="1"/>
  <c r="P85" i="2" a="1"/>
  <c r="Q85" i="2" a="1"/>
  <c r="R86" i="2" a="1"/>
  <c r="P86" i="2" a="1"/>
  <c r="Q86" i="2" a="1"/>
  <c r="R87" i="2" a="1"/>
  <c r="P87" i="2" a="1"/>
  <c r="Q87" i="2" a="1"/>
  <c r="R88" i="2" a="1"/>
  <c r="P88" i="2" a="1"/>
  <c r="Q88" i="2" a="1"/>
  <c r="R89" i="2" a="1"/>
  <c r="P89" i="2" a="1"/>
  <c r="Q89" i="2" a="1"/>
  <c r="R90" i="2" a="1"/>
  <c r="P90" i="2" a="1"/>
  <c r="Q90" i="2" a="1"/>
  <c r="R91" i="2" a="1"/>
  <c r="P91" i="2" a="1"/>
  <c r="Q91" i="2" a="1"/>
  <c r="R92" i="2" a="1"/>
  <c r="Q92" i="2" a="1"/>
  <c r="P92" i="2" a="1"/>
  <c r="R93" i="2" a="1"/>
  <c r="P93" i="2" a="1"/>
  <c r="Q93" i="2" a="1"/>
  <c r="R94" i="2" a="1"/>
  <c r="P94" i="2" a="1"/>
  <c r="Q94" i="2" a="1"/>
  <c r="R95" i="2" a="1"/>
  <c r="P95" i="2" a="1"/>
  <c r="Q95" i="2" a="1"/>
  <c r="R96" i="2" a="1"/>
  <c r="Q96" i="2" a="1"/>
  <c r="P96" i="2" a="1"/>
  <c r="R97" i="2" a="1"/>
  <c r="P97" i="2" a="1"/>
  <c r="Q97" i="2" a="1"/>
  <c r="R98" i="2" a="1"/>
  <c r="Q98" i="2" a="1"/>
  <c r="P98" i="2" a="1"/>
  <c r="R99" i="2" a="1"/>
  <c r="P99" i="2" a="1"/>
  <c r="Q99" i="2" a="1"/>
  <c r="R100" i="2" a="1"/>
  <c r="P100" i="2" a="1"/>
  <c r="Q100" i="2" a="1"/>
  <c r="R101" i="2" a="1"/>
  <c r="P101" i="2" a="1"/>
  <c r="Q101" i="2" a="1"/>
  <c r="R102" i="2" a="1"/>
  <c r="P102" i="2" a="1"/>
  <c r="Q102" i="2" a="1"/>
  <c r="R103" i="2" a="1"/>
  <c r="P103" i="2" a="1"/>
  <c r="Q103" i="2" a="1"/>
  <c r="R104" i="2" a="1"/>
  <c r="Q104" i="2" a="1"/>
  <c r="P104" i="2" a="1"/>
  <c r="R105" i="2" a="1"/>
  <c r="Q105" i="2" a="1"/>
  <c r="P105" i="2" a="1"/>
  <c r="R106" i="2" a="1"/>
  <c r="P106" i="2" a="1"/>
  <c r="Q106" i="2" a="1"/>
  <c r="R107" i="2" a="1"/>
  <c r="P107" i="2" a="1"/>
  <c r="Q107" i="2" a="1"/>
  <c r="R108" i="2" a="1"/>
  <c r="P108" i="2" a="1"/>
  <c r="Q108" i="2" a="1"/>
  <c r="R109" i="2" a="1"/>
  <c r="Q109" i="2" a="1"/>
  <c r="P109" i="2" a="1"/>
  <c r="R110" i="2" a="1"/>
  <c r="Q110" i="2" a="1"/>
  <c r="P110" i="2" a="1"/>
  <c r="R111" i="2" a="1"/>
  <c r="P111" i="2" a="1"/>
  <c r="Q111" i="2" a="1"/>
  <c r="R112" i="2" a="1"/>
  <c r="Q112" i="2" a="1"/>
  <c r="P112" i="2" a="1"/>
  <c r="R113" i="2" a="1"/>
  <c r="P113" i="2" a="1"/>
  <c r="Q113" i="2" a="1"/>
  <c r="R114" i="2" a="1"/>
  <c r="Q114" i="2" a="1"/>
  <c r="P114" i="2" a="1"/>
  <c r="R115" i="2" a="1"/>
  <c r="Q115" i="2" a="1"/>
  <c r="P115" i="2" a="1"/>
  <c r="R116" i="2" a="1"/>
  <c r="P116" i="2" a="1"/>
  <c r="Q116" i="2" a="1"/>
  <c r="R117" i="2" a="1"/>
  <c r="P117" i="2" a="1"/>
  <c r="Q117" i="2" a="1"/>
  <c r="R118" i="2" a="1"/>
  <c r="P118" i="2" a="1"/>
  <c r="Q118" i="2" a="1"/>
  <c r="R119" i="2" a="1"/>
  <c r="P119" i="2" a="1"/>
  <c r="Q119" i="2" a="1"/>
  <c r="R120" i="2" a="1"/>
  <c r="P120" i="2" a="1"/>
  <c r="Q120" i="2" a="1"/>
  <c r="R121" i="2" a="1"/>
  <c r="P121" i="2" a="1"/>
  <c r="Q121" i="2" a="1"/>
  <c r="R122" i="2" a="1"/>
  <c r="P122" i="2" a="1"/>
  <c r="Q122" i="2" a="1"/>
  <c r="R123" i="2" a="1"/>
  <c r="P123" i="2" a="1"/>
  <c r="Q123" i="2" a="1"/>
  <c r="R124" i="2" a="1"/>
  <c r="Q124" i="2" a="1"/>
  <c r="P124" i="2" a="1"/>
  <c r="R125" i="2" a="1"/>
  <c r="P125" i="2" a="1"/>
  <c r="Q125" i="2" a="1"/>
  <c r="R126" i="2" a="1"/>
  <c r="P126" i="2" a="1"/>
  <c r="Q126" i="2" a="1"/>
  <c r="R127" i="2" a="1"/>
  <c r="P127" i="2" a="1"/>
  <c r="Q127" i="2" a="1"/>
  <c r="R128" i="2" a="1"/>
  <c r="P128" i="2" a="1"/>
  <c r="Q128" i="2" a="1"/>
  <c r="R129" i="2" a="1"/>
  <c r="Q129" i="2" a="1"/>
  <c r="P129" i="2" a="1"/>
  <c r="R130" i="2" a="1"/>
  <c r="P130" i="2" a="1"/>
  <c r="Q130" i="2" a="1"/>
  <c r="R131" i="2" a="1"/>
  <c r="Q131" i="2" a="1"/>
  <c r="P131" i="2" a="1"/>
  <c r="R132" i="2" a="1"/>
  <c r="Q132" i="2" a="1"/>
  <c r="P132" i="2" a="1"/>
  <c r="R133" i="2" a="1"/>
  <c r="Q133" i="2" a="1"/>
  <c r="P133" i="2" a="1"/>
  <c r="R134" i="2" a="1"/>
  <c r="Q134" i="2" a="1"/>
  <c r="P134" i="2" a="1"/>
  <c r="R135" i="2" a="1"/>
  <c r="P135" i="2" a="1"/>
  <c r="Q135" i="2" a="1"/>
  <c r="R136" i="2" a="1"/>
  <c r="P136" i="2" a="1"/>
  <c r="Q136" i="2" a="1"/>
  <c r="R137" i="2" a="1"/>
  <c r="P137" i="2" a="1"/>
  <c r="R138" i="2" a="1"/>
  <c r="P138" i="2" a="1"/>
  <c r="R139" i="2" a="1"/>
  <c r="P139" i="2" a="1"/>
  <c r="R140" i="2" a="1"/>
  <c r="P140" i="2" a="1"/>
  <c r="R141" i="2" a="1"/>
  <c r="P141" i="2" a="1"/>
  <c r="R142" i="2" a="1"/>
  <c r="P142" i="2" a="1"/>
  <c r="R143" i="2" a="1"/>
  <c r="P143" i="2" a="1"/>
  <c r="R144" i="2" a="1"/>
  <c r="P144" i="2" a="1"/>
  <c r="R145" i="2" a="1"/>
  <c r="P145" i="2" a="1"/>
  <c r="R146" i="2" a="1"/>
  <c r="P146" i="2" a="1"/>
  <c r="R147" i="2" a="1"/>
  <c r="P147" i="2" a="1"/>
  <c r="R148" i="2" a="1"/>
  <c r="P148" i="2" a="1"/>
  <c r="R149" i="2" a="1"/>
  <c r="P149" i="2" a="1"/>
  <c r="R150" i="2" a="1"/>
  <c r="P150" i="2" a="1"/>
  <c r="R151" i="2" a="1"/>
  <c r="P151" i="2" a="1"/>
  <c r="R152" i="2" a="1"/>
  <c r="P152" i="2" a="1"/>
  <c r="R153" i="2" a="1"/>
  <c r="P153" i="2" a="1"/>
  <c r="R154" i="2" a="1"/>
  <c r="P154" i="2" a="1"/>
  <c r="R155" i="2" a="1"/>
  <c r="P155" i="2" a="1"/>
  <c r="R156" i="2" a="1"/>
  <c r="P156" i="2" a="1"/>
  <c r="R157" i="2" a="1"/>
  <c r="P157" i="2" a="1"/>
  <c r="R158" i="2" a="1"/>
  <c r="P158" i="2" a="1"/>
  <c r="R159" i="2" a="1"/>
  <c r="P159" i="2" a="1"/>
  <c r="R160" i="2" a="1"/>
  <c r="P160" i="2" a="1"/>
  <c r="R161" i="2" a="1"/>
  <c r="P161" i="2" a="1"/>
  <c r="R162" i="2" a="1"/>
  <c r="P162" i="2" a="1"/>
  <c r="R163" i="2" a="1"/>
  <c r="P163" i="2" a="1"/>
  <c r="R164" i="2" a="1"/>
  <c r="P164" i="2" a="1"/>
  <c r="R165" i="2" a="1"/>
  <c r="P165" i="2" a="1"/>
  <c r="R166" i="2" a="1"/>
  <c r="P166" i="2" a="1"/>
  <c r="R167" i="2" a="1"/>
  <c r="P167" i="2" a="1"/>
  <c r="R168" i="2" a="1"/>
  <c r="P168" i="2" a="1"/>
  <c r="R169" i="2" a="1"/>
  <c r="P169" i="2" a="1"/>
  <c r="R170" i="2" a="1"/>
  <c r="P170" i="2" a="1"/>
  <c r="R171" i="2" a="1"/>
  <c r="P171" i="2" a="1"/>
  <c r="R172" i="2" a="1"/>
  <c r="P172" i="2" a="1"/>
  <c r="R173" i="2" a="1"/>
  <c r="P173" i="2" a="1"/>
  <c r="R174" i="2" a="1"/>
  <c r="P174" i="2" a="1"/>
  <c r="R175" i="2" a="1"/>
  <c r="P175" i="2" a="1"/>
  <c r="R176" i="2" a="1"/>
  <c r="P176" i="2" a="1"/>
  <c r="R177" i="2" a="1"/>
  <c r="P177" i="2" a="1"/>
  <c r="R178" i="2" a="1"/>
  <c r="P178" i="2" a="1"/>
  <c r="R179" i="2" a="1"/>
  <c r="P179" i="2" a="1"/>
  <c r="R180" i="2" a="1"/>
  <c r="P180" i="2" a="1"/>
  <c r="R181" i="2" a="1"/>
  <c r="P181" i="2" a="1"/>
  <c r="R182" i="2" a="1"/>
  <c r="P182" i="2" a="1"/>
  <c r="R183" i="2" a="1"/>
  <c r="P183" i="2" a="1"/>
  <c r="R184" i="2" a="1"/>
  <c r="P184" i="2" a="1"/>
  <c r="R185" i="2" a="1"/>
  <c r="P185" i="2" a="1"/>
  <c r="R186" i="2" a="1"/>
  <c r="P186" i="2" a="1"/>
  <c r="R187" i="2" a="1"/>
  <c r="P187" i="2" a="1"/>
  <c r="R188" i="2" a="1"/>
  <c r="P188" i="2" a="1"/>
  <c r="R189" i="2" a="1"/>
  <c r="P189" i="2" a="1"/>
  <c r="R190" i="2" a="1"/>
  <c r="P190" i="2" a="1"/>
  <c r="R191" i="2" a="1"/>
  <c r="P191" i="2" a="1"/>
  <c r="R192" i="2" a="1"/>
  <c r="P192" i="2" a="1"/>
  <c r="R193" i="2" a="1"/>
  <c r="P193" i="2" a="1"/>
  <c r="R194" i="2" a="1"/>
  <c r="P194" i="2" a="1"/>
  <c r="R195" i="2" a="1"/>
  <c r="P195" i="2" a="1"/>
  <c r="R196" i="2" a="1"/>
  <c r="P196" i="2" a="1"/>
  <c r="R197" i="2" a="1"/>
  <c r="P197" i="2" a="1"/>
  <c r="R198" i="2" a="1"/>
  <c r="P198" i="2" a="1"/>
  <c r="R199" i="2" a="1"/>
  <c r="P199" i="2" a="1"/>
  <c r="R200" i="2" a="1"/>
  <c r="P200" i="2" a="1"/>
  <c r="R201" i="2" a="1"/>
  <c r="P201" i="2" a="1"/>
  <c r="R202" i="2" a="1"/>
  <c r="P202" i="2" a="1"/>
  <c r="R203" i="2" a="1"/>
  <c r="P203" i="2" a="1"/>
  <c r="R204" i="2" a="1"/>
  <c r="P204" i="2" a="1"/>
  <c r="R205" i="2" a="1"/>
  <c r="P205" i="2" a="1"/>
  <c r="R206" i="2" a="1"/>
  <c r="P206" i="2" a="1"/>
  <c r="R207" i="2" a="1"/>
  <c r="P207" i="2" a="1"/>
  <c r="R208" i="2" a="1"/>
  <c r="P208" i="2" a="1"/>
  <c r="R209" i="2" a="1"/>
  <c r="P209" i="2" a="1"/>
  <c r="R210" i="2" a="1"/>
  <c r="P210" i="2" a="1"/>
  <c r="R211" i="2" a="1"/>
  <c r="P211" i="2" a="1"/>
  <c r="R212" i="2" a="1"/>
  <c r="P212" i="2" a="1"/>
  <c r="R213" i="2" a="1"/>
  <c r="P213" i="2" a="1"/>
  <c r="R214" i="2" a="1"/>
  <c r="P214" i="2" a="1"/>
  <c r="R215" i="2" a="1"/>
  <c r="P215" i="2" a="1"/>
  <c r="R216" i="2" a="1"/>
  <c r="P216" i="2" a="1"/>
  <c r="R217" i="2" a="1"/>
  <c r="P217" i="2" a="1"/>
  <c r="R218" i="2" a="1"/>
  <c r="P218" i="2" a="1"/>
  <c r="R219" i="2" a="1"/>
  <c r="P219" i="2" a="1"/>
  <c r="R220" i="2" a="1"/>
  <c r="P220" i="2" a="1"/>
  <c r="R221" i="2" a="1"/>
  <c r="P221" i="2" a="1"/>
  <c r="R222" i="2" a="1"/>
  <c r="P222" i="2" a="1"/>
  <c r="R223" i="2" a="1"/>
  <c r="P223" i="2" a="1"/>
  <c r="R224" i="2" a="1"/>
  <c r="P224" i="2" a="1"/>
  <c r="R225" i="2" a="1"/>
  <c r="P225" i="2" a="1"/>
  <c r="R226" i="2" a="1"/>
  <c r="P226" i="2" a="1"/>
  <c r="R227" i="2" a="1"/>
  <c r="P227" i="2" a="1"/>
  <c r="R228" i="2" a="1"/>
  <c r="P228" i="2" a="1"/>
  <c r="R229" i="2" a="1"/>
  <c r="P229" i="2" a="1"/>
  <c r="R230" i="2" a="1"/>
  <c r="P230" i="2" a="1"/>
  <c r="R231" i="2" a="1"/>
  <c r="P231" i="2" a="1"/>
  <c r="R232" i="2" a="1"/>
  <c r="P232" i="2" a="1"/>
  <c r="R233" i="2" a="1"/>
  <c r="P233" i="2" a="1"/>
  <c r="R234" i="2" a="1"/>
  <c r="P234" i="2" a="1"/>
  <c r="R235" i="2" a="1"/>
  <c r="P235" i="2" a="1"/>
  <c r="R236" i="2" a="1"/>
  <c r="P236" i="2" a="1"/>
  <c r="R237" i="2" a="1"/>
  <c r="P237" i="2" a="1"/>
  <c r="R238" i="2" a="1"/>
  <c r="P238" i="2" a="1"/>
  <c r="R239" i="2" a="1"/>
  <c r="P239" i="2" a="1"/>
  <c r="R240" i="2" a="1"/>
  <c r="P240" i="2" a="1"/>
  <c r="R241" i="2" a="1"/>
  <c r="P241" i="2" a="1"/>
  <c r="R242" i="2" a="1"/>
  <c r="P242" i="2" a="1"/>
  <c r="R243" i="2" a="1"/>
  <c r="P243" i="2" a="1"/>
  <c r="R244" i="2" a="1"/>
  <c r="P244" i="2" a="1"/>
  <c r="R245" i="2" a="1"/>
  <c r="P245" i="2" a="1"/>
  <c r="R246" i="2" a="1"/>
  <c r="P246" i="2" a="1"/>
  <c r="R247" i="2" a="1"/>
  <c r="P247" i="2" a="1"/>
  <c r="R248" i="2" a="1"/>
  <c r="P248" i="2" a="1"/>
  <c r="R249" i="2" a="1"/>
  <c r="P249" i="2" a="1"/>
  <c r="R250" i="2" a="1"/>
  <c r="P250" i="2" a="1"/>
  <c r="R251" i="2" a="1"/>
  <c r="P251" i="2" a="1"/>
  <c r="R252" i="2" a="1"/>
  <c r="P252" i="2" a="1"/>
  <c r="R253" i="2" a="1"/>
  <c r="P253" i="2" a="1"/>
  <c r="R254" i="2" a="1"/>
  <c r="P254" i="2" a="1"/>
  <c r="R255" i="2" a="1"/>
  <c r="P255" i="2" a="1"/>
  <c r="R256" i="2" a="1"/>
  <c r="P256" i="2" a="1"/>
  <c r="R257" i="2" a="1"/>
  <c r="P257" i="2" a="1"/>
  <c r="R258" i="2" a="1"/>
  <c r="P258" i="2" a="1"/>
  <c r="R259" i="2" a="1"/>
  <c r="P259" i="2" a="1"/>
  <c r="R260" i="2" a="1"/>
  <c r="P260" i="2" a="1"/>
  <c r="R261" i="2" a="1"/>
  <c r="P261" i="2" a="1"/>
  <c r="R262" i="2" a="1"/>
  <c r="P262" i="2" a="1"/>
  <c r="R263" i="2" a="1"/>
  <c r="P263" i="2" a="1"/>
  <c r="R264" i="2" a="1"/>
  <c r="P264" i="2" a="1"/>
  <c r="R265" i="2" a="1"/>
  <c r="P265" i="2" a="1"/>
  <c r="R266" i="2" a="1"/>
  <c r="P266" i="2" a="1"/>
  <c r="R267" i="2" a="1"/>
  <c r="P267" i="2" a="1"/>
  <c r="R268" i="2" a="1"/>
  <c r="P268" i="2" a="1"/>
  <c r="R269" i="2" a="1"/>
  <c r="P269" i="2" a="1"/>
  <c r="R270" i="2" a="1"/>
  <c r="P270" i="2" a="1"/>
  <c r="R271" i="2" a="1"/>
  <c r="P271" i="2" a="1"/>
  <c r="R272" i="2" a="1"/>
  <c r="P272" i="2" a="1"/>
  <c r="R273" i="2" a="1"/>
  <c r="P273" i="2" a="1"/>
  <c r="R274" i="2" a="1"/>
  <c r="P274" i="2" a="1"/>
  <c r="R275" i="2" a="1"/>
  <c r="P275" i="2" a="1"/>
  <c r="R276" i="2" a="1"/>
  <c r="P276" i="2" a="1"/>
  <c r="R277" i="2" a="1"/>
  <c r="P277" i="2" a="1"/>
  <c r="R278" i="2" a="1"/>
  <c r="P278" i="2" a="1"/>
  <c r="R279" i="2" a="1"/>
  <c r="P279" i="2" a="1"/>
  <c r="R280" i="2" a="1"/>
  <c r="P280" i="2" a="1"/>
  <c r="R281" i="2" a="1"/>
  <c r="P281" i="2" a="1"/>
  <c r="R282" i="2" a="1"/>
  <c r="P282" i="2" a="1"/>
  <c r="R283" i="2" a="1"/>
  <c r="P283" i="2" a="1"/>
  <c r="R284" i="2" a="1"/>
  <c r="P284" i="2" a="1"/>
  <c r="R285" i="2" a="1"/>
  <c r="P285" i="2" a="1"/>
  <c r="R286" i="2" a="1"/>
  <c r="P286" i="2" a="1"/>
  <c r="R287" i="2" a="1"/>
  <c r="P287" i="2" a="1"/>
  <c r="R288" i="2" a="1"/>
  <c r="P288" i="2" a="1"/>
  <c r="R289" i="2" a="1"/>
  <c r="P289" i="2" a="1"/>
  <c r="R290" i="2" a="1"/>
  <c r="P290" i="2" a="1"/>
  <c r="R291" i="2" a="1"/>
  <c r="P291" i="2" a="1"/>
  <c r="R292" i="2" a="1"/>
  <c r="P292" i="2" a="1"/>
  <c r="R293" i="2" a="1"/>
  <c r="P293" i="2" a="1"/>
  <c r="R294" i="2" a="1"/>
  <c r="P294" i="2" a="1"/>
  <c r="R295" i="2" a="1"/>
  <c r="P295" i="2" a="1"/>
  <c r="R296" i="2" a="1"/>
  <c r="P296" i="2" a="1"/>
  <c r="R297" i="2" a="1"/>
  <c r="P297" i="2" a="1"/>
  <c r="R298" i="2" a="1"/>
  <c r="P298" i="2" a="1"/>
  <c r="R299" i="2" a="1"/>
  <c r="P299" i="2" a="1"/>
  <c r="R300" i="2" a="1"/>
  <c r="P300" i="2" a="1"/>
  <c r="R301" i="2" a="1"/>
  <c r="P301" i="2" a="1"/>
  <c r="R302" i="2" a="1"/>
  <c r="P302" i="2" a="1"/>
  <c r="R303" i="2" a="1"/>
  <c r="P303" i="2" a="1"/>
  <c r="R304" i="2" a="1"/>
  <c r="P304" i="2" a="1"/>
  <c r="R305" i="2" a="1"/>
  <c r="P305" i="2" a="1"/>
  <c r="R306" i="2" a="1"/>
  <c r="P306" i="2" a="1"/>
  <c r="R307" i="2" a="1"/>
  <c r="P307" i="2" a="1"/>
  <c r="R308" i="2" a="1"/>
  <c r="P308" i="2" a="1"/>
  <c r="R309" i="2" a="1"/>
  <c r="P309" i="2" a="1"/>
  <c r="R310" i="2" a="1"/>
  <c r="P310" i="2" a="1"/>
  <c r="R311" i="2" a="1"/>
  <c r="P311" i="2" a="1"/>
  <c r="R312" i="2" a="1"/>
  <c r="P312" i="2" a="1"/>
  <c r="R313" i="2" a="1"/>
  <c r="P313" i="2" a="1"/>
  <c r="R314" i="2" a="1"/>
  <c r="P314" i="2" a="1"/>
  <c r="R315" i="2" a="1"/>
  <c r="P315" i="2" a="1"/>
  <c r="R316" i="2" a="1"/>
  <c r="P316" i="2" a="1"/>
  <c r="R317" i="2" a="1"/>
  <c r="P317" i="2" a="1"/>
  <c r="R318" i="2" a="1"/>
  <c r="P318" i="2" a="1"/>
  <c r="R319" i="2" a="1"/>
  <c r="P319" i="2" a="1"/>
  <c r="R320" i="2" a="1"/>
  <c r="P320" i="2" a="1"/>
  <c r="R321" i="2" a="1"/>
  <c r="P321" i="2" a="1"/>
  <c r="R322" i="2" a="1"/>
  <c r="P322" i="2" a="1"/>
  <c r="R323" i="2" a="1"/>
  <c r="P323" i="2" a="1"/>
  <c r="R324" i="2" a="1"/>
  <c r="P324" i="2" a="1"/>
  <c r="R325" i="2" a="1"/>
  <c r="P325" i="2" a="1"/>
  <c r="R326" i="2" a="1"/>
  <c r="P326" i="2" a="1"/>
  <c r="R327" i="2" a="1"/>
  <c r="P327" i="2" a="1"/>
  <c r="R328" i="2" a="1"/>
  <c r="P328" i="2" a="1"/>
  <c r="R329" i="2" a="1"/>
  <c r="P329" i="2" a="1"/>
  <c r="R330" i="2" a="1"/>
  <c r="P330" i="2" a="1"/>
  <c r="R331" i="2" a="1"/>
  <c r="P331" i="2" a="1"/>
  <c r="R332" i="2" a="1"/>
  <c r="P332" i="2" a="1"/>
  <c r="R333" i="2" a="1"/>
  <c r="P333" i="2" a="1"/>
  <c r="R334" i="2" a="1"/>
  <c r="P334" i="2" a="1"/>
  <c r="R771" i="2" a="1"/>
  <c r="Q771" i="2" a="1"/>
  <c r="O162" i="2" a="1"/>
  <c r="O245" i="2" a="1"/>
  <c r="O252" i="2" a="1"/>
  <c r="O256" i="2" a="1"/>
  <c r="O261" i="2" a="1"/>
  <c r="O264" i="2" a="1"/>
  <c r="O268" i="2" a="1"/>
  <c r="O272" i="2" a="1"/>
  <c r="O275" i="2" a="1"/>
  <c r="O280" i="2" a="1"/>
  <c r="O282" i="2" a="1"/>
  <c r="O285" i="2" a="1"/>
  <c r="O288" i="2" a="1"/>
  <c r="O292" i="2" a="1"/>
  <c r="O295" i="2" a="1"/>
  <c r="O298" i="2" a="1"/>
  <c r="O300" i="2" a="1"/>
  <c r="O302" i="2" a="1"/>
  <c r="O304" i="2" a="1"/>
  <c r="O307" i="2" a="1"/>
  <c r="O310" i="2" a="1"/>
  <c r="O313" i="2" a="1"/>
  <c r="O316" i="2" a="1"/>
  <c r="O320" i="2" a="1"/>
  <c r="O323" i="2" a="1"/>
  <c r="O327" i="2" a="1"/>
  <c r="O329" i="2" a="1"/>
  <c r="O333" i="2" a="1"/>
  <c r="O336" i="2" a="1"/>
  <c r="O339" i="2" a="1"/>
  <c r="O342" i="2" a="1"/>
  <c r="O345" i="2" a="1"/>
  <c r="O348" i="2" a="1"/>
  <c r="O352" i="2" a="1"/>
  <c r="O355" i="2" a="1"/>
  <c r="O358" i="2" a="1"/>
  <c r="O361" i="2" a="1"/>
  <c r="O364" i="2" a="1"/>
  <c r="O367" i="2" a="1"/>
  <c r="O370" i="2" a="1"/>
  <c r="O374" i="2" a="1"/>
  <c r="O376" i="2" a="1"/>
  <c r="O379" i="2" a="1"/>
  <c r="O382" i="2" a="1"/>
  <c r="O385" i="2" a="1"/>
  <c r="O390" i="2" a="1"/>
  <c r="O393" i="2" a="1"/>
  <c r="O396" i="2" a="1"/>
  <c r="O400" i="2" a="1"/>
  <c r="O403" i="2" a="1"/>
  <c r="O406" i="2" a="1"/>
  <c r="O409" i="2" a="1"/>
  <c r="O412" i="2" a="1"/>
  <c r="O414" i="2" a="1"/>
  <c r="O419" i="2" a="1"/>
  <c r="O422" i="2" a="1"/>
  <c r="O425" i="2" a="1"/>
  <c r="O427" i="2" a="1"/>
  <c r="O431" i="2" a="1"/>
  <c r="O436" i="2" a="1"/>
  <c r="O439" i="2" a="1"/>
  <c r="O442" i="2" a="1"/>
  <c r="O445" i="2" a="1"/>
  <c r="O448" i="2" a="1"/>
  <c r="O450" i="2" a="1"/>
  <c r="O453" i="2" a="1"/>
  <c r="O457" i="2" a="1"/>
  <c r="O460" i="2" a="1"/>
  <c r="O463" i="2" a="1"/>
  <c r="O466" i="2" a="1"/>
  <c r="O469" i="2" a="1"/>
  <c r="O472" i="2" a="1"/>
  <c r="O475" i="2" a="1"/>
  <c r="O478" i="2" a="1"/>
  <c r="O480" i="2" a="1"/>
  <c r="O484" i="2" a="1"/>
  <c r="O487" i="2" a="1"/>
  <c r="O489" i="2" a="1"/>
  <c r="O493" i="2" a="1"/>
  <c r="O495" i="2" a="1"/>
  <c r="O499" i="2" a="1"/>
  <c r="O501" i="2" a="1"/>
  <c r="O503" i="2" a="1"/>
  <c r="O506" i="2" a="1"/>
  <c r="O510" i="2" a="1"/>
  <c r="O513" i="2" a="1"/>
  <c r="O529" i="2" a="1"/>
  <c r="O533" i="2" a="1"/>
  <c r="O535" i="2" a="1"/>
  <c r="O540" i="2" a="1"/>
  <c r="O543" i="2" a="1"/>
  <c r="O547" i="2" a="1"/>
  <c r="O550" i="2" a="1"/>
  <c r="O554" i="2" a="1"/>
  <c r="O557" i="2" a="1"/>
  <c r="O645" i="2" a="1"/>
  <c r="O649" i="2" a="1"/>
  <c r="O652" i="2" a="1"/>
  <c r="O655" i="2" a="1"/>
  <c r="O658" i="2" a="1"/>
  <c r="O662" i="2" a="1"/>
  <c r="O7" i="2" a="1"/>
  <c r="O8" i="2" a="1"/>
  <c r="O9" i="2" a="1"/>
  <c r="O11" i="2" a="1"/>
  <c r="O12" i="2" a="1"/>
  <c r="O13" i="2" a="1"/>
  <c r="O15" i="2" a="1"/>
  <c r="O16" i="2" a="1"/>
  <c r="O18" i="2" a="1"/>
  <c r="O19" i="2" a="1"/>
  <c r="O21" i="2" a="1"/>
  <c r="O22" i="2" a="1"/>
  <c r="O23" i="2" a="1"/>
  <c r="O24" i="2" a="1"/>
  <c r="O25" i="2" a="1"/>
  <c r="O26" i="2" a="1"/>
  <c r="O27" i="2" a="1"/>
  <c r="O28" i="2" a="1"/>
  <c r="O29" i="2" a="1"/>
  <c r="O30" i="2" a="1"/>
  <c r="O31" i="2" a="1"/>
  <c r="O32" i="2" a="1"/>
  <c r="O33" i="2" a="1"/>
  <c r="O34" i="2" a="1"/>
  <c r="O36" i="2" a="1"/>
  <c r="O37" i="2" a="1"/>
  <c r="O38" i="2" a="1"/>
  <c r="O39" i="2" a="1"/>
  <c r="O40" i="2" a="1"/>
  <c r="O41" i="2" a="1"/>
  <c r="O42" i="2" a="1"/>
  <c r="O43" i="2" a="1"/>
  <c r="O44" i="2" a="1"/>
  <c r="O45" i="2" a="1"/>
  <c r="O46" i="2" a="1"/>
  <c r="O47" i="2" a="1"/>
  <c r="O48" i="2" a="1"/>
  <c r="O49" i="2" a="1"/>
  <c r="O50" i="2" a="1"/>
  <c r="O51" i="2" a="1"/>
  <c r="O52" i="2" a="1"/>
  <c r="O53" i="2" a="1"/>
  <c r="O54" i="2" a="1"/>
  <c r="O55" i="2" a="1"/>
  <c r="O56" i="2" a="1"/>
  <c r="O57" i="2" a="1"/>
  <c r="O58" i="2" a="1"/>
  <c r="O59" i="2" a="1"/>
  <c r="O60" i="2" a="1"/>
  <c r="O61" i="2" a="1"/>
  <c r="O62" i="2" a="1"/>
  <c r="O63" i="2" a="1"/>
  <c r="O64" i="2" a="1"/>
  <c r="O65" i="2" a="1"/>
  <c r="O66" i="2" a="1"/>
  <c r="O67" i="2" a="1"/>
  <c r="O68" i="2" a="1"/>
  <c r="O69" i="2" a="1"/>
  <c r="O70" i="2" a="1"/>
  <c r="O72" i="2" a="1"/>
  <c r="O73" i="2" a="1"/>
  <c r="O74" i="2" a="1"/>
  <c r="O75" i="2" a="1"/>
  <c r="O76" i="2" a="1"/>
  <c r="O77" i="2" a="1"/>
  <c r="O78" i="2" a="1"/>
  <c r="O79" i="2" a="1"/>
  <c r="O81" i="2" a="1"/>
  <c r="O82" i="2" a="1"/>
  <c r="O83" i="2" a="1"/>
  <c r="O85" i="2" a="1"/>
  <c r="O86" i="2" a="1"/>
  <c r="O87" i="2" a="1"/>
  <c r="O89" i="2" a="1"/>
  <c r="O90" i="2" a="1"/>
  <c r="O91" i="2" a="1"/>
  <c r="O93" i="2" a="1"/>
  <c r="O94" i="2" a="1"/>
  <c r="O95" i="2" a="1"/>
  <c r="O97" i="2" a="1"/>
  <c r="O98" i="2" a="1"/>
  <c r="O99" i="2" a="1"/>
  <c r="O101" i="2" a="1"/>
  <c r="O102" i="2" a="1"/>
  <c r="O103" i="2" a="1"/>
  <c r="O105" i="2" a="1"/>
  <c r="O109" i="2" a="1"/>
  <c r="O110" i="2" a="1"/>
  <c r="O112" i="2" a="1"/>
  <c r="O113" i="2" a="1"/>
  <c r="O114" i="2" a="1"/>
  <c r="O116" i="2" a="1"/>
  <c r="O117" i="2" a="1"/>
  <c r="O118" i="2" a="1"/>
  <c r="O119" i="2" a="1"/>
  <c r="O121" i="2" a="1"/>
  <c r="O122" i="2" a="1"/>
  <c r="O123" i="2" a="1"/>
  <c r="O124" i="2" a="1"/>
  <c r="O126" i="2" a="1"/>
  <c r="O127" i="2" a="1"/>
  <c r="O128" i="2" a="1"/>
  <c r="O130" i="2" a="1"/>
  <c r="O131" i="2" a="1"/>
  <c r="O132" i="2" a="1"/>
  <c r="O134" i="2" a="1"/>
  <c r="O135" i="2" a="1"/>
  <c r="O136" i="2" a="1"/>
  <c r="O159" i="2" a="1"/>
  <c r="O161" i="2" a="1"/>
  <c r="O163" i="2" a="1"/>
  <c r="O166" i="2" a="1"/>
  <c r="O168" i="2" a="1"/>
  <c r="O170" i="2" a="1"/>
  <c r="O171" i="2" a="1"/>
  <c r="O172" i="2" a="1"/>
  <c r="O174" i="2" a="1"/>
  <c r="O177" i="2" a="1"/>
  <c r="O179" i="2" a="1"/>
  <c r="O180" i="2" a="1"/>
  <c r="O183" i="2" a="1"/>
  <c r="O184" i="2" a="1"/>
  <c r="O185" i="2" a="1"/>
  <c r="O187" i="2" a="1"/>
  <c r="O189" i="2" a="1"/>
  <c r="O190" i="2" a="1"/>
  <c r="O191" i="2" a="1"/>
  <c r="O193" i="2" a="1"/>
  <c r="O195" i="2" a="1"/>
  <c r="O196" i="2" a="1"/>
  <c r="O199" i="2" a="1"/>
  <c r="O200" i="2" a="1"/>
  <c r="O202" i="2" a="1"/>
  <c r="O204" i="2" a="1"/>
  <c r="O206" i="2" a="1"/>
  <c r="O208" i="2" a="1"/>
  <c r="O209" i="2" a="1"/>
  <c r="O210" i="2" a="1"/>
  <c r="O213" i="2" a="1"/>
  <c r="O214" i="2" a="1"/>
  <c r="O215" i="2" a="1"/>
  <c r="O217" i="2" a="1"/>
  <c r="O219" i="2" a="1"/>
  <c r="O222" i="2" a="1"/>
  <c r="O223" i="2" a="1"/>
  <c r="O225" i="2" a="1"/>
  <c r="O227" i="2" a="1"/>
  <c r="O229" i="2" a="1"/>
  <c r="O231" i="2" a="1"/>
  <c r="O234" i="2" a="1"/>
  <c r="O235" i="2" a="1"/>
  <c r="O238" i="2" a="1"/>
  <c r="O241" i="2" a="1"/>
  <c r="O244" i="2" a="1"/>
  <c r="O246" i="2" a="1"/>
  <c r="O249" i="2" a="1"/>
  <c r="O250" i="2" a="1"/>
  <c r="O254" i="2" a="1"/>
  <c r="O258" i="2" a="1"/>
  <c r="O260" i="2" a="1"/>
  <c r="O263" i="2" a="1"/>
  <c r="O266" i="2" a="1"/>
  <c r="O269" i="2" a="1"/>
  <c r="O273" i="2" a="1"/>
  <c r="O277" i="2" a="1"/>
  <c r="O279" i="2" a="1"/>
  <c r="O283" i="2" a="1"/>
  <c r="O286" i="2" a="1"/>
  <c r="O290" i="2" a="1"/>
  <c r="O293" i="2" a="1"/>
  <c r="O296" i="2" a="1"/>
  <c r="O308" i="2" a="1"/>
  <c r="O311" i="2" a="1"/>
  <c r="O314" i="2" a="1"/>
  <c r="O318" i="2" a="1"/>
  <c r="O321" i="2" a="1"/>
  <c r="O324" i="2" a="1"/>
  <c r="O326" i="2" a="1"/>
  <c r="O330" i="2" a="1"/>
  <c r="O332" i="2" a="1"/>
  <c r="O337" i="2" a="1"/>
  <c r="O341" i="2" a="1"/>
  <c r="O344" i="2" a="1"/>
  <c r="O347" i="2" a="1"/>
  <c r="O350" i="2" a="1"/>
  <c r="O354" i="2" a="1"/>
  <c r="O357" i="2" a="1"/>
  <c r="O360" i="2" a="1"/>
  <c r="O365" i="2" a="1"/>
  <c r="O368" i="2" a="1"/>
  <c r="O371" i="2" a="1"/>
  <c r="O375" i="2" a="1"/>
  <c r="O377" i="2" a="1"/>
  <c r="O380" i="2" a="1"/>
  <c r="O383" i="2" a="1"/>
  <c r="O386" i="2" a="1"/>
  <c r="O388" i="2" a="1"/>
  <c r="O391" i="2" a="1"/>
  <c r="O394" i="2" a="1"/>
  <c r="O397" i="2" a="1"/>
  <c r="O399" i="2" a="1"/>
  <c r="O402" i="2" a="1"/>
  <c r="O405" i="2" a="1"/>
  <c r="O408" i="2" a="1"/>
  <c r="O413" i="2" a="1"/>
  <c r="O415" i="2" a="1"/>
  <c r="O418" i="2" a="1"/>
  <c r="O420" i="2" a="1"/>
  <c r="O424" i="2" a="1"/>
  <c r="O426" i="2" a="1"/>
  <c r="O429" i="2" a="1"/>
  <c r="O432" i="2" a="1"/>
  <c r="O435" i="2" a="1"/>
  <c r="O437" i="2" a="1"/>
  <c r="O440" i="2" a="1"/>
  <c r="O443" i="2" a="1"/>
  <c r="O446" i="2" a="1"/>
  <c r="O449" i="2" a="1"/>
  <c r="O452" i="2" a="1"/>
  <c r="O456" i="2" a="1"/>
  <c r="O458" i="2" a="1"/>
  <c r="O461" i="2" a="1"/>
  <c r="O464" i="2" a="1"/>
  <c r="O468" i="2" a="1"/>
  <c r="O470" i="2" a="1"/>
  <c r="O474" i="2" a="1"/>
  <c r="O476" i="2" a="1"/>
  <c r="O479" i="2" a="1"/>
  <c r="O481" i="2" a="1"/>
  <c r="O483" i="2" a="1"/>
  <c r="O485" i="2" a="1"/>
  <c r="O488" i="2" a="1"/>
  <c r="O490" i="2" a="1"/>
  <c r="O492" i="2" a="1"/>
  <c r="O496" i="2" a="1"/>
  <c r="O497" i="2" a="1"/>
  <c r="O500" i="2" a="1"/>
  <c r="O502" i="2" a="1"/>
  <c r="O504" i="2" a="1"/>
  <c r="O507" i="2" a="1"/>
  <c r="O508" i="2" a="1"/>
  <c r="O509" i="2" a="1"/>
  <c r="O512" i="2" a="1"/>
  <c r="O514" i="2" a="1"/>
  <c r="O516" i="2" a="1"/>
  <c r="O517" i="2" a="1"/>
  <c r="O519" i="2" a="1"/>
  <c r="O521" i="2" a="1"/>
  <c r="O522" i="2" a="1"/>
  <c r="O524" i="2" a="1"/>
  <c r="O525" i="2" a="1"/>
  <c r="O528" i="2" a="1"/>
  <c r="O530" i="2" a="1"/>
  <c r="O534" i="2" a="1"/>
  <c r="O536" i="2" a="1"/>
  <c r="O538" i="2" a="1"/>
  <c r="O541" i="2" a="1"/>
  <c r="O544" i="2" a="1"/>
  <c r="O548" i="2" a="1"/>
  <c r="O551" i="2" a="1"/>
  <c r="O555" i="2" a="1"/>
  <c r="O559" i="2" a="1"/>
  <c r="O647" i="2" a="1"/>
  <c r="O651" i="2" a="1"/>
  <c r="O653" i="2" a="1"/>
  <c r="O657" i="2" a="1"/>
  <c r="O660" i="2" a="1"/>
  <c r="O664" i="2" a="1"/>
  <c r="O35" i="2" a="1"/>
  <c r="O71" i="2" a="1"/>
  <c r="O80" i="2" a="1"/>
  <c r="O84" i="2" a="1"/>
  <c r="O88" i="2" a="1"/>
  <c r="O92" i="2" a="1"/>
  <c r="O96" i="2" a="1"/>
  <c r="O100" i="2" a="1"/>
  <c r="O104" i="2" a="1"/>
  <c r="O106" i="2" a="1"/>
  <c r="O107" i="2" a="1"/>
  <c r="O108" i="2" a="1"/>
  <c r="O111" i="2" a="1"/>
  <c r="O115" i="2" a="1"/>
  <c r="O120" i="2" a="1"/>
  <c r="O125" i="2" a="1"/>
  <c r="O129" i="2" a="1"/>
  <c r="O133" i="2" a="1"/>
  <c r="O137" i="2" a="1"/>
  <c r="O164" i="2" a="1"/>
  <c r="O169" i="2" a="1"/>
  <c r="O175" i="2" a="1"/>
  <c r="O178" i="2" a="1"/>
  <c r="O182" i="2" a="1"/>
  <c r="O186" i="2" a="1"/>
  <c r="O192" i="2" a="1"/>
  <c r="O197" i="2" a="1"/>
  <c r="O201" i="2" a="1"/>
  <c r="O205" i="2" a="1"/>
  <c r="O211" i="2" a="1"/>
  <c r="O216" i="2" a="1"/>
  <c r="O220" i="2" a="1"/>
  <c r="O224" i="2" a="1"/>
  <c r="O228" i="2" a="1"/>
  <c r="O232" i="2" a="1"/>
  <c r="O236" i="2" a="1"/>
  <c r="O240" i="2" a="1"/>
  <c r="O243" i="2" a="1"/>
  <c r="O248" i="2" a="1"/>
  <c r="O253" i="2" a="1"/>
  <c r="O257" i="2" a="1"/>
  <c r="O262" i="2" a="1"/>
  <c r="O267" i="2" a="1"/>
  <c r="O271" i="2" a="1"/>
  <c r="O276" i="2" a="1"/>
  <c r="O281" i="2" a="1"/>
  <c r="O287" i="2" a="1"/>
  <c r="O291" i="2" a="1"/>
  <c r="O297" i="2" a="1"/>
  <c r="O301" i="2" a="1"/>
  <c r="O305" i="2" a="1"/>
  <c r="O312" i="2" a="1"/>
  <c r="O317" i="2" a="1"/>
  <c r="O322" i="2" a="1"/>
  <c r="O328" i="2" a="1"/>
  <c r="O334" i="2" a="1"/>
  <c r="O338" i="2" a="1"/>
  <c r="O343" i="2" a="1"/>
  <c r="O349" i="2" a="1"/>
  <c r="O353" i="2" a="1"/>
  <c r="O359" i="2" a="1"/>
  <c r="O363" i="2" a="1"/>
  <c r="O369" i="2" a="1"/>
  <c r="O373" i="2" a="1"/>
  <c r="O381" i="2" a="1"/>
  <c r="O387" i="2" a="1"/>
  <c r="O392" i="2" a="1"/>
  <c r="O398" i="2" a="1"/>
  <c r="O404" i="2" a="1"/>
  <c r="O410" i="2" a="1"/>
  <c r="O416" i="2" a="1"/>
  <c r="O421" i="2" a="1"/>
  <c r="O428" i="2" a="1"/>
  <c r="O434" i="2" a="1"/>
  <c r="O441" i="2" a="1"/>
  <c r="O447" i="2" a="1"/>
  <c r="O454" i="2" a="1"/>
  <c r="O459" i="2" a="1"/>
  <c r="O465" i="2" a="1"/>
  <c r="O471" i="2" a="1"/>
  <c r="O477" i="2" a="1"/>
  <c r="O482" i="2" a="1"/>
  <c r="O486" i="2" a="1"/>
  <c r="O491" i="2" a="1"/>
  <c r="O494" i="2" a="1"/>
  <c r="O498" i="2" a="1"/>
  <c r="O526" i="2" a="1"/>
  <c r="O532" i="2" a="1"/>
  <c r="O539" i="2" a="1"/>
  <c r="O545" i="2" a="1"/>
  <c r="O549" i="2" a="1"/>
  <c r="O553" i="2" a="1"/>
  <c r="O558" i="2" a="1"/>
  <c r="O648" i="2" a="1"/>
  <c r="O654" i="2" a="1"/>
  <c r="O659" i="2" a="1"/>
  <c r="O663" i="2" a="1"/>
  <c r="O138" i="2" a="1"/>
  <c r="O139" i="2" a="1"/>
  <c r="O140" i="2" a="1"/>
  <c r="O141" i="2" a="1"/>
  <c r="O142" i="2" a="1"/>
  <c r="O143" i="2" a="1"/>
  <c r="O144" i="2" a="1"/>
  <c r="O145" i="2" a="1"/>
  <c r="O146" i="2" a="1"/>
  <c r="O147" i="2" a="1"/>
  <c r="O148" i="2" a="1"/>
  <c r="O149" i="2" a="1"/>
  <c r="O150" i="2" a="1"/>
  <c r="O151" i="2" a="1"/>
  <c r="O152" i="2" a="1"/>
  <c r="O153" i="2" a="1"/>
  <c r="O154" i="2" a="1"/>
  <c r="O155" i="2" a="1"/>
  <c r="O156" i="2" a="1"/>
  <c r="O157" i="2" a="1"/>
  <c r="O158" i="2" a="1"/>
  <c r="O160" i="2" a="1"/>
  <c r="O165" i="2" a="1"/>
  <c r="O167" i="2" a="1"/>
  <c r="O173" i="2" a="1"/>
  <c r="O176" i="2" a="1"/>
  <c r="O181" i="2" a="1"/>
  <c r="O188" i="2" a="1"/>
  <c r="O194" i="2" a="1"/>
  <c r="O198" i="2" a="1"/>
  <c r="O203" i="2" a="1"/>
  <c r="O207" i="2" a="1"/>
  <c r="O212" i="2" a="1"/>
  <c r="O218" i="2" a="1"/>
  <c r="O221" i="2" a="1"/>
  <c r="O226" i="2" a="1"/>
  <c r="O230" i="2" a="1"/>
  <c r="O233" i="2" a="1"/>
  <c r="O237" i="2" a="1"/>
  <c r="O239" i="2" a="1"/>
  <c r="O242" i="2" a="1"/>
  <c r="O247" i="2" a="1"/>
  <c r="O251" i="2" a="1"/>
  <c r="O255" i="2" a="1"/>
  <c r="O259" i="2" a="1"/>
  <c r="O265" i="2" a="1"/>
  <c r="O270" i="2" a="1"/>
  <c r="O274" i="2" a="1"/>
  <c r="O278" i="2" a="1"/>
  <c r="O284" i="2" a="1"/>
  <c r="O289" i="2" a="1"/>
  <c r="O294" i="2" a="1"/>
  <c r="O299" i="2" a="1"/>
  <c r="O303" i="2" a="1"/>
  <c r="O306" i="2" a="1"/>
  <c r="O309" i="2" a="1"/>
  <c r="O315" i="2" a="1"/>
  <c r="O319" i="2" a="1"/>
  <c r="O325" i="2" a="1"/>
  <c r="O331" i="2" a="1"/>
  <c r="O335" i="2" a="1"/>
  <c r="O340" i="2" a="1"/>
  <c r="O346" i="2" a="1"/>
  <c r="O351" i="2" a="1"/>
  <c r="O356" i="2" a="1"/>
  <c r="O362" i="2" a="1"/>
  <c r="O366" i="2" a="1"/>
  <c r="O372" i="2" a="1"/>
  <c r="O378" i="2" a="1"/>
  <c r="O384" i="2" a="1"/>
  <c r="O389" i="2" a="1"/>
  <c r="O395" i="2" a="1"/>
  <c r="O401" i="2" a="1"/>
  <c r="O407" i="2" a="1"/>
  <c r="O411" i="2" a="1"/>
  <c r="O417" i="2" a="1"/>
  <c r="O423" i="2" a="1"/>
  <c r="O430" i="2" a="1"/>
  <c r="O433" i="2" a="1"/>
  <c r="O438" i="2" a="1"/>
  <c r="O444" i="2" a="1"/>
  <c r="O451" i="2" a="1"/>
  <c r="O455" i="2" a="1"/>
  <c r="O462" i="2" a="1"/>
  <c r="O467" i="2" a="1"/>
  <c r="O473" i="2" a="1"/>
  <c r="O505" i="2" a="1"/>
  <c r="O511" i="2" a="1"/>
  <c r="O515" i="2" a="1"/>
  <c r="O518" i="2" a="1"/>
  <c r="O520" i="2" a="1"/>
  <c r="O523" i="2" a="1"/>
  <c r="O527" i="2" a="1"/>
  <c r="O531" i="2" a="1"/>
  <c r="O537" i="2" a="1"/>
  <c r="O542" i="2" a="1"/>
  <c r="O546" i="2" a="1"/>
  <c r="O552" i="2" a="1"/>
  <c r="O556" i="2" a="1"/>
  <c r="O646" i="2" a="1"/>
  <c r="O650" i="2" a="1"/>
  <c r="O656" i="2" a="1"/>
  <c r="O661" i="2" a="1"/>
  <c r="O665" i="2" a="1"/>
  <c r="O666" i="2" a="1"/>
  <c r="O667" i="2" a="1"/>
  <c r="O668" i="2" a="1"/>
  <c r="O669" i="2" a="1"/>
  <c r="O670" i="2" a="1"/>
  <c r="O671" i="2" a="1"/>
  <c r="O672" i="2" a="1"/>
  <c r="O673" i="2" a="1"/>
  <c r="O674" i="2" a="1"/>
  <c r="O675" i="2" a="1"/>
  <c r="O676" i="2" a="1"/>
  <c r="O677" i="2" a="1"/>
  <c r="O678" i="2" a="1"/>
  <c r="O679" i="2" a="1"/>
  <c r="O680" i="2" a="1"/>
  <c r="O681" i="2" a="1"/>
  <c r="O682" i="2" a="1"/>
  <c r="O683" i="2" a="1"/>
  <c r="O684" i="2" a="1"/>
  <c r="O685" i="2" a="1"/>
  <c r="O686" i="2" a="1"/>
  <c r="O687" i="2" a="1"/>
  <c r="O688" i="2" a="1"/>
  <c r="O689" i="2" a="1"/>
  <c r="O690" i="2" a="1"/>
  <c r="O691" i="2" a="1"/>
  <c r="O692" i="2" a="1"/>
  <c r="O693" i="2" a="1"/>
  <c r="O694" i="2" a="1"/>
  <c r="O695" i="2" a="1"/>
  <c r="O696" i="2" a="1"/>
  <c r="O697" i="2" a="1"/>
  <c r="O698" i="2" a="1"/>
  <c r="O699" i="2" a="1"/>
  <c r="O700" i="2" a="1"/>
  <c r="O701" i="2" a="1"/>
  <c r="O702" i="2" a="1"/>
  <c r="O703" i="2" a="1"/>
  <c r="O704" i="2" a="1"/>
  <c r="O705" i="2" a="1"/>
  <c r="O706" i="2" a="1"/>
  <c r="O707" i="2" a="1"/>
  <c r="O708" i="2" a="1"/>
  <c r="O709" i="2" a="1"/>
  <c r="O710" i="2" a="1"/>
  <c r="O711" i="2" a="1"/>
  <c r="O712" i="2" a="1"/>
  <c r="O713" i="2" a="1"/>
  <c r="O714" i="2" a="1"/>
  <c r="O715" i="2" a="1"/>
  <c r="O716" i="2" a="1"/>
  <c r="O717" i="2" a="1"/>
  <c r="O718" i="2" a="1"/>
  <c r="O719" i="2" a="1"/>
  <c r="O720" i="2" a="1"/>
  <c r="O721" i="2" a="1"/>
  <c r="O722" i="2" a="1"/>
  <c r="O723" i="2" a="1"/>
  <c r="O724" i="2" a="1"/>
  <c r="O725" i="2" a="1"/>
  <c r="O726" i="2" a="1"/>
  <c r="O727" i="2" a="1"/>
  <c r="O728" i="2" a="1"/>
  <c r="O729" i="2" a="1"/>
  <c r="O730" i="2" a="1"/>
  <c r="O731" i="2" a="1"/>
  <c r="O732" i="2" a="1"/>
  <c r="O733" i="2" a="1"/>
  <c r="O734" i="2" a="1"/>
  <c r="O735" i="2" a="1"/>
  <c r="O736" i="2" a="1"/>
  <c r="O737" i="2" a="1"/>
  <c r="O738" i="2" a="1"/>
  <c r="O739" i="2" a="1"/>
  <c r="O740" i="2" a="1"/>
  <c r="O741" i="2" a="1"/>
  <c r="O742" i="2" a="1"/>
  <c r="O743" i="2" a="1"/>
  <c r="O744" i="2" a="1"/>
  <c r="O745" i="2" a="1"/>
  <c r="O746" i="2" a="1"/>
  <c r="O747" i="2" a="1"/>
  <c r="O748" i="2" a="1"/>
  <c r="O749" i="2" a="1"/>
  <c r="O750" i="2" a="1"/>
  <c r="O751" i="2" a="1"/>
  <c r="O752" i="2" a="1"/>
  <c r="O753" i="2" a="1"/>
  <c r="O754" i="2" a="1"/>
  <c r="O755" i="2" a="1"/>
  <c r="O756" i="2" a="1"/>
  <c r="O757" i="2" a="1"/>
  <c r="O758" i="2" a="1"/>
  <c r="O759" i="2" a="1"/>
  <c r="O760" i="2" a="1"/>
  <c r="O761" i="2" a="1"/>
  <c r="O762" i="2" a="1"/>
  <c r="O763" i="2" a="1"/>
  <c r="O764" i="2" a="1"/>
  <c r="O765" i="2" a="1"/>
  <c r="O766" i="2" a="1"/>
  <c r="O767" i="2" a="1"/>
  <c r="O768" i="2" a="1"/>
  <c r="O769" i="2" a="1"/>
  <c r="O770" i="2" a="1"/>
  <c r="O771" i="2" a="1"/>
  <c r="O772" i="2" a="1"/>
  <c r="O773" i="2" a="1"/>
  <c r="O774" i="2" a="1"/>
  <c r="O775" i="2" a="1"/>
  <c r="O776" i="2" a="1"/>
  <c r="O777" i="2" a="1"/>
  <c r="O778" i="2" a="1"/>
  <c r="O779" i="2" a="1"/>
  <c r="O780" i="2" a="1"/>
  <c r="O781" i="2" a="1"/>
  <c r="O782" i="2" a="1"/>
  <c r="O783" i="2" a="1"/>
  <c r="O784" i="2" a="1"/>
  <c r="O785" i="2" a="1"/>
  <c r="O786" i="2" a="1"/>
  <c r="O787" i="2" a="1"/>
  <c r="O788" i="2" a="1"/>
  <c r="O789" i="2" a="1"/>
  <c r="O790" i="2" a="1"/>
  <c r="O791" i="2" a="1"/>
  <c r="O792" i="2" a="1"/>
  <c r="O793" i="2" a="1"/>
  <c r="O794" i="2" a="1"/>
  <c r="O795" i="2" a="1"/>
  <c r="O796" i="2" a="1"/>
  <c r="O797" i="2" a="1"/>
  <c r="O798" i="2" a="1"/>
  <c r="O799" i="2" a="1"/>
  <c r="O800" i="2" a="1"/>
  <c r="O801" i="2" a="1"/>
  <c r="O802" i="2" a="1"/>
  <c r="O803" i="2" a="1"/>
  <c r="O804" i="2" a="1"/>
  <c r="O805" i="2" a="1"/>
  <c r="O806" i="2" a="1"/>
  <c r="O807" i="2" a="1"/>
  <c r="O808" i="2" a="1"/>
  <c r="O809" i="2" a="1"/>
  <c r="O810" i="2" a="1"/>
  <c r="O811" i="2" a="1"/>
  <c r="O812" i="2" a="1"/>
  <c r="O813" i="2" a="1"/>
  <c r="O814" i="2" a="1"/>
  <c r="O815" i="2" a="1"/>
  <c r="O816" i="2" a="1"/>
  <c r="O817" i="2" a="1"/>
  <c r="O818" i="2" a="1"/>
  <c r="O819" i="2" a="1"/>
  <c r="O820" i="2" a="1"/>
  <c r="O821" i="2" a="1"/>
  <c r="O822" i="2" a="1"/>
  <c r="O823" i="2" a="1"/>
  <c r="O824" i="2" a="1"/>
  <c r="O825" i="2" a="1"/>
  <c r="O826" i="2" a="1"/>
  <c r="O827" i="2" a="1"/>
  <c r="O828" i="2" a="1"/>
  <c r="O829" i="2" a="1"/>
  <c r="O830" i="2" a="1"/>
  <c r="O831" i="2" a="1"/>
  <c r="O832" i="2" a="1"/>
  <c r="O833" i="2" a="1"/>
  <c r="O834" i="2" a="1"/>
  <c r="O835" i="2" a="1"/>
  <c r="O836" i="2" a="1"/>
  <c r="O837" i="2" a="1"/>
  <c r="O838" i="2" a="1"/>
  <c r="O839" i="2" a="1"/>
  <c r="O840" i="2" a="1"/>
  <c r="O841" i="2" a="1"/>
  <c r="O842" i="2" a="1"/>
  <c r="O843" i="2" a="1"/>
  <c r="O844" i="2" a="1"/>
  <c r="O845" i="2" a="1"/>
  <c r="O846" i="2" a="1"/>
  <c r="O847" i="2" a="1"/>
  <c r="O848" i="2" a="1"/>
  <c r="O849" i="2" a="1"/>
  <c r="O850" i="2" a="1"/>
  <c r="O851" i="2" a="1"/>
  <c r="O852" i="2" a="1"/>
  <c r="O853" i="2" a="1"/>
  <c r="O854" i="2" a="1"/>
  <c r="O855" i="2" a="1"/>
  <c r="O856" i="2" a="1"/>
  <c r="O857" i="2" a="1"/>
  <c r="O858" i="2" a="1"/>
  <c r="O859" i="2" a="1"/>
  <c r="O860" i="2" a="1"/>
  <c r="O861" i="2" a="1"/>
  <c r="O862" i="2" a="1"/>
  <c r="O863" i="2" a="1"/>
  <c r="O864" i="2" a="1"/>
  <c r="O865" i="2" a="1"/>
  <c r="O866" i="2" a="1"/>
  <c r="O867" i="2" a="1"/>
  <c r="O868" i="2" a="1"/>
  <c r="O869" i="2" a="1"/>
  <c r="O870" i="2" a="1"/>
  <c r="O871" i="2" a="1"/>
  <c r="O872" i="2" a="1"/>
  <c r="O873" i="2" a="1"/>
  <c r="O874" i="2" a="1"/>
  <c r="O875" i="2" a="1"/>
  <c r="O876" i="2" a="1"/>
  <c r="O877" i="2" a="1"/>
  <c r="O878" i="2" a="1"/>
  <c r="O879" i="2" a="1"/>
  <c r="O880" i="2" a="1"/>
  <c r="O881" i="2" a="1"/>
  <c r="O882" i="2" a="1"/>
  <c r="O883" i="2" a="1"/>
  <c r="O884" i="2" a="1"/>
  <c r="O885" i="2" a="1"/>
  <c r="O886" i="2" a="1"/>
  <c r="O887" i="2" a="1"/>
  <c r="O888" i="2" a="1"/>
  <c r="O889" i="2" a="1"/>
  <c r="O890" i="2" a="1"/>
  <c r="O891" i="2" a="1"/>
  <c r="O892" i="2" a="1"/>
  <c r="O893" i="2" a="1"/>
  <c r="O894" i="2" a="1"/>
  <c r="O895" i="2" a="1"/>
  <c r="O896" i="2" a="1"/>
  <c r="O897" i="2" a="1"/>
  <c r="O898" i="2" a="1"/>
  <c r="O899" i="2" a="1"/>
  <c r="O900" i="2" a="1"/>
  <c r="O901" i="2" a="1"/>
  <c r="O902" i="2" a="1"/>
  <c r="O903" i="2" a="1"/>
  <c r="O904" i="2" a="1"/>
  <c r="O905" i="2" a="1"/>
  <c r="O906" i="2" a="1"/>
  <c r="O907" i="2" a="1"/>
  <c r="O908" i="2" a="1"/>
  <c r="O909" i="2" a="1"/>
  <c r="O910" i="2" a="1"/>
  <c r="O911" i="2" a="1"/>
  <c r="O912" i="2" a="1"/>
  <c r="O913" i="2" a="1"/>
  <c r="O914" i="2" a="1"/>
  <c r="O915" i="2" a="1"/>
  <c r="O916" i="2" a="1"/>
  <c r="O917" i="2" a="1"/>
  <c r="O918" i="2" a="1"/>
  <c r="O919" i="2" a="1"/>
  <c r="O920" i="2" a="1"/>
  <c r="O921" i="2" a="1"/>
  <c r="O922" i="2" a="1"/>
  <c r="O923" i="2" a="1"/>
  <c r="O924" i="2" a="1"/>
  <c r="O925" i="2" a="1"/>
  <c r="O926" i="2" a="1"/>
  <c r="O927" i="2" a="1"/>
  <c r="O928" i="2" a="1"/>
  <c r="O929" i="2" a="1"/>
  <c r="O930" i="2" a="1"/>
  <c r="O931" i="2" a="1"/>
  <c r="O932" i="2" a="1"/>
  <c r="O933" i="2" a="1"/>
  <c r="O934" i="2" a="1"/>
  <c r="O935" i="2" a="1"/>
  <c r="O936" i="2" a="1"/>
  <c r="O937" i="2" a="1"/>
  <c r="O938" i="2" a="1"/>
  <c r="O939" i="2" a="1"/>
  <c r="O940" i="2" a="1"/>
  <c r="O941" i="2" a="1"/>
  <c r="O942" i="2" a="1"/>
  <c r="O943" i="2" a="1"/>
  <c r="O944" i="2" a="1"/>
  <c r="O945" i="2" a="1"/>
  <c r="O946" i="2" a="1"/>
  <c r="O947" i="2" a="1"/>
  <c r="O948" i="2" a="1"/>
  <c r="O949" i="2" a="1"/>
  <c r="O950" i="2" a="1"/>
  <c r="O951" i="2" a="1"/>
  <c r="O952" i="2" a="1"/>
  <c r="O953" i="2" a="1"/>
  <c r="O954" i="2" a="1"/>
  <c r="O955" i="2" a="1"/>
  <c r="O956" i="2" a="1"/>
  <c r="O957" i="2" a="1"/>
  <c r="O958" i="2" a="1"/>
  <c r="O959" i="2" a="1"/>
  <c r="O960" i="2" a="1"/>
  <c r="O961" i="2" a="1"/>
  <c r="O962" i="2" a="1"/>
  <c r="O963" i="2" a="1"/>
  <c r="O964" i="2" a="1"/>
  <c r="O965" i="2" a="1"/>
  <c r="O966" i="2" a="1"/>
  <c r="O967" i="2" a="1"/>
  <c r="O968" i="2" a="1"/>
  <c r="O969" i="2" a="1"/>
  <c r="O970" i="2" a="1"/>
  <c r="O971" i="2" a="1"/>
  <c r="O972" i="2" a="1"/>
  <c r="O973" i="2" a="1"/>
  <c r="O974" i="2" a="1"/>
  <c r="O975" i="2" a="1"/>
  <c r="O976" i="2" a="1"/>
  <c r="O977" i="2" a="1"/>
  <c r="O978" i="2" a="1"/>
  <c r="O979" i="2" a="1"/>
  <c r="O980" i="2" a="1"/>
  <c r="O981" i="2" a="1"/>
  <c r="O982" i="2" a="1"/>
  <c r="O983" i="2" a="1"/>
  <c r="O984" i="2" a="1"/>
  <c r="O985" i="2" a="1"/>
  <c r="O986" i="2" a="1"/>
  <c r="O987" i="2" a="1"/>
  <c r="O988" i="2" a="1"/>
  <c r="O989" i="2" a="1"/>
  <c r="O990" i="2" a="1"/>
  <c r="O991" i="2" a="1"/>
  <c r="O992" i="2" a="1"/>
  <c r="O993" i="2" a="1"/>
  <c r="O994" i="2" a="1"/>
  <c r="O995" i="2" a="1"/>
  <c r="O996" i="2" a="1"/>
  <c r="O997" i="2" a="1"/>
  <c r="O998" i="2" a="1"/>
  <c r="O999" i="2" a="1"/>
  <c r="O1000" i="2" a="1"/>
  <c r="O1001" i="2" a="1"/>
  <c r="O1002" i="2" a="1"/>
  <c r="O1003" i="2" a="1"/>
  <c r="O1004" i="2" a="1"/>
  <c r="C5" i="4"/>
  <c r="O560" i="2" a="1"/>
  <c r="O561" i="2" a="1"/>
  <c r="O562" i="2" a="1"/>
  <c r="O563" i="2" a="1"/>
  <c r="O564" i="2" a="1"/>
  <c r="O565" i="2" a="1"/>
  <c r="O566" i="2" a="1"/>
  <c r="O567" i="2" a="1"/>
  <c r="O568" i="2" a="1"/>
  <c r="O569" i="2" a="1"/>
  <c r="O570" i="2" a="1"/>
  <c r="O571" i="2" a="1"/>
  <c r="O572" i="2" a="1"/>
  <c r="O573" i="2" a="1"/>
  <c r="O574" i="2" a="1"/>
  <c r="O575" i="2" a="1"/>
  <c r="O576" i="2" a="1"/>
  <c r="O577" i="2" a="1"/>
  <c r="O578" i="2" a="1"/>
  <c r="O579" i="2" a="1"/>
  <c r="O580" i="2" a="1"/>
  <c r="O581" i="2" a="1"/>
  <c r="O582" i="2" a="1"/>
  <c r="O583" i="2" a="1"/>
  <c r="O584" i="2" a="1"/>
  <c r="O585" i="2" a="1"/>
  <c r="O586" i="2" a="1"/>
  <c r="O587" i="2" a="1"/>
  <c r="O588" i="2" a="1"/>
  <c r="O589" i="2" a="1"/>
  <c r="O590" i="2" a="1"/>
  <c r="O591" i="2" a="1"/>
  <c r="O592" i="2" a="1"/>
  <c r="O593" i="2" a="1"/>
  <c r="O594" i="2" a="1"/>
  <c r="O595" i="2" a="1"/>
  <c r="O596" i="2" a="1"/>
  <c r="O597" i="2" a="1"/>
  <c r="O598" i="2" a="1"/>
  <c r="O599" i="2" a="1"/>
  <c r="O600" i="2" a="1"/>
  <c r="O601" i="2" a="1"/>
  <c r="O602" i="2" a="1"/>
  <c r="O603" i="2" a="1"/>
  <c r="O604" i="2" a="1"/>
  <c r="O605" i="2" a="1"/>
  <c r="O606" i="2" a="1"/>
  <c r="O607" i="2" a="1"/>
  <c r="O608" i="2" a="1"/>
  <c r="O609" i="2" a="1"/>
  <c r="O610" i="2" a="1"/>
  <c r="O611" i="2" a="1"/>
  <c r="O612" i="2" a="1"/>
  <c r="O613" i="2" a="1"/>
  <c r="O614" i="2" a="1"/>
  <c r="O615" i="2" a="1"/>
  <c r="O616" i="2" a="1"/>
  <c r="O617" i="2" a="1"/>
  <c r="O618" i="2" a="1"/>
  <c r="O619" i="2" a="1"/>
  <c r="O620" i="2" a="1"/>
  <c r="O621" i="2" a="1"/>
  <c r="O622" i="2" a="1"/>
  <c r="O623" i="2" a="1"/>
  <c r="O624" i="2" a="1"/>
  <c r="O625" i="2" a="1"/>
  <c r="O626" i="2" a="1"/>
  <c r="O627" i="2" a="1"/>
  <c r="O628" i="2" a="1"/>
  <c r="O629" i="2" a="1"/>
  <c r="O630" i="2" a="1"/>
  <c r="O631" i="2" a="1"/>
  <c r="O632" i="2" a="1"/>
  <c r="O633" i="2" a="1"/>
  <c r="O634" i="2" a="1"/>
  <c r="O635" i="2" a="1"/>
  <c r="O636" i="2" a="1"/>
  <c r="O637" i="2" a="1"/>
  <c r="O638" i="2" a="1"/>
  <c r="O639" i="2" a="1"/>
  <c r="O640" i="2" a="1"/>
  <c r="O641" i="2" a="1"/>
  <c r="O642" i="2" a="1"/>
  <c r="O643" i="2" a="1"/>
  <c r="O644" i="2" a="1"/>
  <c r="P17" i="3"/>
  <c r="O17" i="3"/>
  <c r="N17" i="3"/>
  <c r="M17" i="3"/>
  <c r="K17" i="3" a="1"/>
  <c r="J17" i="3"/>
  <c r="I17" i="3"/>
  <c r="H17" i="3"/>
  <c r="G17" i="3"/>
  <c r="F17" i="3"/>
  <c r="E17" i="3"/>
  <c r="D17" i="3"/>
  <c r="C17" i="3"/>
  <c r="P16" i="3"/>
  <c r="O16" i="3"/>
  <c r="N16" i="3"/>
  <c r="M16" i="3"/>
  <c r="K16" i="3" a="1"/>
  <c r="J16" i="3"/>
  <c r="I16" i="3"/>
  <c r="H16" i="3"/>
  <c r="G16" i="3"/>
  <c r="F16" i="3"/>
  <c r="E16" i="3"/>
  <c r="D16" i="3"/>
  <c r="C16" i="3"/>
  <c r="P15" i="3"/>
  <c r="O15" i="3"/>
  <c r="N15" i="3"/>
  <c r="M15" i="3"/>
  <c r="K15" i="3" a="1"/>
  <c r="J15" i="3"/>
  <c r="I15" i="3"/>
  <c r="H15" i="3"/>
  <c r="G15" i="3"/>
  <c r="F15" i="3"/>
  <c r="E15" i="3"/>
  <c r="D15" i="3"/>
  <c r="C15" i="3"/>
  <c r="P14" i="3"/>
  <c r="O14" i="3"/>
  <c r="N14" i="3"/>
  <c r="M14" i="3"/>
  <c r="K14" i="3" a="1"/>
  <c r="J14" i="3"/>
  <c r="I14" i="3"/>
  <c r="H14" i="3"/>
  <c r="G14" i="3"/>
  <c r="F14" i="3"/>
  <c r="E14" i="3"/>
  <c r="D14" i="3"/>
  <c r="C14" i="3"/>
  <c r="P13" i="3"/>
  <c r="O13" i="3"/>
  <c r="N13" i="3"/>
  <c r="M13" i="3"/>
  <c r="K13" i="3" a="1"/>
  <c r="J13" i="3"/>
  <c r="I13" i="3"/>
  <c r="H13" i="3"/>
  <c r="G13" i="3"/>
  <c r="F13" i="3"/>
  <c r="E13" i="3"/>
  <c r="D13" i="3"/>
  <c r="C13" i="3"/>
  <c r="B3" i="1"/>
  <c r="H20" i="2"/>
  <c r="K20" i="2" s="1"/>
  <c r="P20" i="2" s="1" a="1"/>
  <c r="F20" i="2"/>
  <c r="G19" i="2"/>
  <c r="F19" i="2"/>
  <c r="G18" i="2"/>
  <c r="F18" i="2"/>
  <c r="H17" i="2"/>
  <c r="G17" i="2"/>
  <c r="L17" i="2" s="1"/>
  <c r="F17" i="2"/>
  <c r="G16" i="2"/>
  <c r="F16" i="2"/>
  <c r="G15" i="2"/>
  <c r="F15" i="2"/>
  <c r="H14" i="2"/>
  <c r="G14" i="2"/>
  <c r="L14" i="2" s="1"/>
  <c r="F14" i="2"/>
  <c r="G13" i="2"/>
  <c r="F13" i="2"/>
  <c r="G12" i="2"/>
  <c r="F12" i="2"/>
  <c r="F11" i="2"/>
  <c r="H10" i="2"/>
  <c r="G10" i="2"/>
  <c r="L10" i="2" s="1"/>
  <c r="G9" i="2"/>
  <c r="L9" i="2" s="1"/>
  <c r="G8" i="2"/>
  <c r="F8" i="2"/>
  <c r="F7" i="2"/>
  <c r="G6" i="2"/>
  <c r="H5" i="2"/>
  <c r="F5" i="2"/>
  <c r="G20" i="2"/>
  <c r="L20" i="2" s="1"/>
  <c r="G11" i="2"/>
  <c r="K11" i="2" s="1"/>
  <c r="F10" i="2"/>
  <c r="F9" i="2"/>
  <c r="G7" i="2"/>
  <c r="K7" i="2" s="1"/>
  <c r="H6" i="2"/>
  <c r="F6" i="2"/>
  <c r="G5" i="2"/>
  <c r="L5" i="2" s="1"/>
  <c r="L6" i="2" l="1"/>
  <c r="L19" i="2"/>
  <c r="K19" i="2"/>
  <c r="L18" i="2"/>
  <c r="K18" i="2"/>
  <c r="P18" i="2" s="1" a="1"/>
  <c r="O17" i="2" a="1"/>
  <c r="K17" i="2"/>
  <c r="L16" i="2"/>
  <c r="K16" i="2"/>
  <c r="L15" i="2"/>
  <c r="K15" i="2"/>
  <c r="O14" i="2" a="1"/>
  <c r="K14" i="2"/>
  <c r="L13" i="2"/>
  <c r="K13" i="2"/>
  <c r="P13" i="2" s="1" a="1"/>
  <c r="L12" i="2"/>
  <c r="K12" i="2"/>
  <c r="O10" i="2" a="1"/>
  <c r="K10" i="2"/>
  <c r="P10" i="2" s="1" a="1"/>
  <c r="L8" i="2"/>
  <c r="K8" i="2"/>
  <c r="P8" i="2" s="1" a="1"/>
  <c r="O5" i="2" a="1"/>
  <c r="K5" i="2"/>
  <c r="O6" i="2" a="1"/>
  <c r="K6" i="2"/>
  <c r="L11" i="2"/>
  <c r="P11" i="2" s="1" a="1"/>
  <c r="L7" i="2"/>
  <c r="P7" i="2" s="1" a="1"/>
  <c r="Q11" i="2" a="1"/>
  <c r="R11" i="2" a="1"/>
  <c r="Q7" i="2" a="1"/>
  <c r="R7" i="2" a="1"/>
  <c r="R20" i="2" a="1"/>
  <c r="O20" i="2" a="1"/>
  <c r="H10" i="3"/>
  <c r="H8" i="3"/>
  <c r="H11" i="3"/>
  <c r="R10" i="2" a="1"/>
  <c r="H12" i="3"/>
  <c r="H9" i="3"/>
  <c r="N6" i="1"/>
  <c r="N7" i="1"/>
  <c r="N9" i="2"/>
  <c r="R19" i="2" l="1" a="1"/>
  <c r="P19" i="2" a="1"/>
  <c r="R17" i="2" a="1"/>
  <c r="P17" i="2" a="1"/>
  <c r="R16" i="2" a="1"/>
  <c r="P16" i="2" a="1"/>
  <c r="R15" i="2" a="1"/>
  <c r="P15" i="2" a="1"/>
  <c r="R14" i="2" a="1"/>
  <c r="P14" i="2" a="1"/>
  <c r="R12" i="2" a="1"/>
  <c r="P12" i="2" a="1"/>
  <c r="R5" i="2" a="1"/>
  <c r="P5" i="2" a="1"/>
  <c r="R6" i="2" a="1"/>
  <c r="P6" i="2" a="1"/>
  <c r="R18" i="2" a="1"/>
  <c r="Q18" i="2" a="1"/>
  <c r="R13" i="2" a="1"/>
  <c r="Q13" i="2" a="1"/>
  <c r="R8" i="2" a="1"/>
  <c r="Q8" i="2" a="1"/>
  <c r="Q16" i="2" a="1"/>
  <c r="Q19" i="2" a="1"/>
  <c r="Q12" i="2" a="1"/>
  <c r="Q15" i="2" a="1"/>
  <c r="Q20" i="2" a="1"/>
  <c r="Q17" i="2" a="1"/>
  <c r="Q14" i="2" a="1"/>
  <c r="Q10" i="2" a="1"/>
  <c r="Q5" i="2" a="1"/>
  <c r="Q6" i="2" a="1"/>
  <c r="O12" i="3"/>
  <c r="N12" i="3"/>
  <c r="K12" i="3" a="1"/>
  <c r="M12" i="3"/>
  <c r="G12" i="3"/>
  <c r="F12" i="3"/>
  <c r="D12" i="3"/>
  <c r="E12" i="3"/>
  <c r="O11" i="3"/>
  <c r="C12" i="3"/>
  <c r="M11" i="3"/>
  <c r="N11" i="3"/>
  <c r="K10" i="3" a="1"/>
  <c r="K11" i="3" a="1"/>
  <c r="F11" i="3"/>
  <c r="G11" i="3"/>
  <c r="D11" i="3"/>
  <c r="E11" i="3"/>
  <c r="C11" i="3"/>
  <c r="O10" i="3"/>
  <c r="N10" i="3"/>
  <c r="O9" i="3"/>
  <c r="G10" i="3"/>
  <c r="M10" i="3"/>
  <c r="E10" i="3"/>
  <c r="F10" i="3"/>
  <c r="C10" i="3"/>
  <c r="D10" i="3"/>
  <c r="M9" i="3"/>
  <c r="N9" i="3"/>
  <c r="K8" i="3" a="1"/>
  <c r="K9" i="3" a="1"/>
  <c r="F9" i="3"/>
  <c r="G9" i="3"/>
  <c r="E9" i="3"/>
  <c r="C9" i="3"/>
  <c r="D9" i="3"/>
  <c r="O8" i="3"/>
  <c r="M8" i="3"/>
  <c r="N8" i="3"/>
  <c r="F8" i="3"/>
  <c r="G8" i="3"/>
  <c r="D8" i="3"/>
  <c r="E8" i="3"/>
  <c r="C8" i="3"/>
  <c r="R6" i="1"/>
  <c r="J6" i="1"/>
  <c r="F6" i="1"/>
  <c r="F7" i="1"/>
  <c r="X15" i="1"/>
  <c r="X12" i="1"/>
  <c r="R7" i="1" s="1"/>
  <c r="N10" i="2"/>
  <c r="N5" i="2"/>
  <c r="N6" i="2"/>
  <c r="N20" i="2"/>
  <c r="N17" i="2"/>
  <c r="N14" i="2"/>
  <c r="N19" i="2"/>
  <c r="N18" i="2"/>
  <c r="N16" i="2"/>
  <c r="N15" i="2"/>
  <c r="N13" i="2"/>
  <c r="N12" i="2"/>
  <c r="N8" i="2"/>
  <c r="N11" i="2"/>
  <c r="N7" i="2"/>
  <c r="B31" i="1" l="1" a="1"/>
  <c r="I12" i="3"/>
  <c r="J12" i="3" s="1"/>
  <c r="P12" i="3"/>
  <c r="I11" i="3"/>
  <c r="J11" i="3" s="1"/>
  <c r="P11" i="3"/>
  <c r="I10" i="3"/>
  <c r="J10" i="3" s="1"/>
  <c r="P10" i="3"/>
  <c r="I9" i="3"/>
  <c r="J9" i="3" s="1"/>
  <c r="P9" i="3"/>
  <c r="I8" i="3"/>
  <c r="J8" i="3" s="1"/>
  <c r="P8" i="3"/>
  <c r="N35" i="1" a="1"/>
  <c r="R35" i="1" a="1"/>
  <c r="B35" i="1" a="1"/>
  <c r="J35" i="1" a="1"/>
  <c r="N34" i="1" a="1"/>
  <c r="R34" i="1" a="1"/>
  <c r="B34" i="1" a="1"/>
  <c r="J34" i="1" a="1"/>
  <c r="N33" i="1" a="1"/>
  <c r="R33" i="1" a="1"/>
  <c r="B33" i="1" a="1"/>
  <c r="J33" i="1" a="1"/>
  <c r="N32" i="1" a="1"/>
  <c r="R32" i="1" a="1"/>
  <c r="B32" i="1" a="1"/>
  <c r="J32" i="1" a="1"/>
  <c r="N31" i="1" a="1"/>
  <c r="R31" i="1" a="1"/>
  <c r="J31" i="1" a="1"/>
  <c r="B7" i="1"/>
  <c r="X13" i="1"/>
  <c r="X14" i="1" s="1"/>
  <c r="C7" i="4" s="1" a="1"/>
  <c r="B5" i="3" l="1" a="1"/>
  <c r="B6" i="1"/>
  <c r="B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<sst xmlns="http://schemas.openxmlformats.org/spreadsheetml/2006/main" count="168" uniqueCount="114">
  <si>
    <t>PROGRESS BY EFFORT</t>
  </si>
  <si>
    <t>RUNNING LATE</t>
  </si>
  <si>
    <t>DUE SOON</t>
  </si>
  <si>
    <t>DONE THIS WEEK</t>
  </si>
  <si>
    <t>OPEN TASKS</t>
  </si>
  <si>
    <t>Progress by effort</t>
  </si>
  <si>
    <t>Open work by person (points)</t>
  </si>
  <si>
    <t>Focus now</t>
  </si>
  <si>
    <t>Late and blocked work first, then what is due soon.</t>
  </si>
  <si>
    <t>Task</t>
  </si>
  <si>
    <t>Owner</t>
  </si>
  <si>
    <t>Due</t>
  </si>
  <si>
    <t>Status</t>
  </si>
  <si>
    <t>Everything on this page updates from the Tasks sheet. To send it as a picture, use the snapshot on the Weekly Email sheet.</t>
  </si>
  <si>
    <t>Tasks</t>
  </si>
  <si>
    <t>Type in the white columns. Put a date in Completed when a task is done. The grey columns fill themselves.</t>
  </si>
  <si>
    <t>ID</t>
  </si>
  <si>
    <t>Priority</t>
  </si>
  <si>
    <t>Effort</t>
  </si>
  <si>
    <t>Start</t>
  </si>
  <si>
    <t>Completed</t>
  </si>
  <si>
    <t>Blocked</t>
  </si>
  <si>
    <t>Notes</t>
  </si>
  <si>
    <t>Days</t>
  </si>
  <si>
    <t>Points</t>
  </si>
  <si>
    <t>SortKey</t>
  </si>
  <si>
    <t>LineDone</t>
  </si>
  <si>
    <t>LineLate</t>
  </si>
  <si>
    <t>LineBlocked</t>
  </si>
  <si>
    <t>LineSoon</t>
  </si>
  <si>
    <t>Finalize Q4 campaign brief</t>
  </si>
  <si>
    <t>Reem</t>
  </si>
  <si>
    <t>High</t>
  </si>
  <si>
    <t>M</t>
  </si>
  <si>
    <t>Update pricing page copy</t>
  </si>
  <si>
    <t>Omar</t>
  </si>
  <si>
    <t>Medium</t>
  </si>
  <si>
    <t>S</t>
  </si>
  <si>
    <t>Prepare board update deck</t>
  </si>
  <si>
    <t>Sara</t>
  </si>
  <si>
    <t>L</t>
  </si>
  <si>
    <t>Waiting for final numbers from finance</t>
  </si>
  <si>
    <t>Customer survey: send and collect</t>
  </si>
  <si>
    <t>Lina</t>
  </si>
  <si>
    <t>Fix onboarding email sequence</t>
  </si>
  <si>
    <t>Yes</t>
  </si>
  <si>
    <t>Needs CRM admin access from IT</t>
  </si>
  <si>
    <t>Shortlist freelance designers</t>
  </si>
  <si>
    <t>Faisal</t>
  </si>
  <si>
    <t>Low</t>
  </si>
  <si>
    <t>Competitor review: top 5 players</t>
  </si>
  <si>
    <t>Two profiles left</t>
  </si>
  <si>
    <t>Website speed audit</t>
  </si>
  <si>
    <t>Partner webinar logistics</t>
  </si>
  <si>
    <t>Sales one-pager refresh</t>
  </si>
  <si>
    <t>Plan Founding Day promotion</t>
  </si>
  <si>
    <t>Clean up CRM duplicates</t>
  </si>
  <si>
    <t>Monthly KPI report</t>
  </si>
  <si>
    <t>Brand guidelines update</t>
  </si>
  <si>
    <t>Intern hiring: first interviews</t>
  </si>
  <si>
    <t>November social calendar</t>
  </si>
  <si>
    <t>Team load</t>
  </si>
  <si>
    <t>Person</t>
  </si>
  <si>
    <t>Open tasks</t>
  </si>
  <si>
    <t>Open points</t>
  </si>
  <si>
    <t>Late</t>
  </si>
  <si>
    <t>Due soon</t>
  </si>
  <si>
    <t>Done this week</t>
  </si>
  <si>
    <t>Load</t>
  </si>
  <si>
    <t>Next due</t>
  </si>
  <si>
    <t>Late pts</t>
  </si>
  <si>
    <t>Blocked pts</t>
  </si>
  <si>
    <t>Due soon pts</t>
  </si>
  <si>
    <t>Other open pts</t>
  </si>
  <si>
    <t>Open points by person and status</t>
  </si>
  <si>
    <t>Weekly email</t>
  </si>
  <si>
    <t>Subject</t>
  </si>
  <si>
    <t>Message</t>
  </si>
  <si>
    <t>Settings</t>
  </si>
  <si>
    <t>Set these once. Every sheet reads from here.</t>
  </si>
  <si>
    <t>Team name</t>
  </si>
  <si>
    <t>Growth Team</t>
  </si>
  <si>
    <t>WeekendCode</t>
  </si>
  <si>
    <t>Your name</t>
  </si>
  <si>
    <t>Report date</t>
  </si>
  <si>
    <t>Weekend</t>
  </si>
  <si>
    <t>Friday-Saturday</t>
  </si>
  <si>
    <t>Used for every working-day count.</t>
  </si>
  <si>
    <t>"Due soon" window (working days)</t>
  </si>
  <si>
    <t>Capacity per person (points)</t>
  </si>
  <si>
    <t>Team members</t>
  </si>
  <si>
    <t>Public holidays</t>
  </si>
  <si>
    <t>Name</t>
  </si>
  <si>
    <t>Saudi National Day</t>
  </si>
  <si>
    <t>Founding Day</t>
  </si>
  <si>
    <t>Add Eid and company holidays in the empty rows.</t>
  </si>
  <si>
    <t>How it works</t>
  </si>
  <si>
    <t>1. Add your team members above, and your holidays.</t>
  </si>
  <si>
    <t>2. On Tasks, replace the sample rows with your own. New rows pick up the formulas by themselves.</t>
  </si>
  <si>
    <t>3. When a task is finished, put the date in Completed (Ctrl+; types today). That is all the file needs.</t>
  </si>
  <si>
    <t>4. Status, days left, the Overview and the team load update on their own.</t>
  </si>
  <si>
    <t>Needs Microsoft 365 or Excel 2021. No macros.</t>
  </si>
  <si>
    <t>Template by Darwish Qannan · darwishqannan.com · Want it set up for your team? darwishqannan.com/work-with-me</t>
  </si>
  <si>
    <t>Done</t>
  </si>
  <si>
    <t>Remaining</t>
  </si>
  <si>
    <r>
      <t xml:space="preserve">Free template by </t>
    </r>
    <r>
      <rPr>
        <b/>
        <sz val="9"/>
        <color rgb="FF14161F"/>
        <rFont val="Aptos"/>
        <family val="2"/>
      </rPr>
      <t>Darwish Qannan</t>
    </r>
    <r>
      <rPr>
        <sz val="9"/>
        <color rgb="FF7A7F8C"/>
        <rFont val="Aptos"/>
        <family val="2"/>
      </rPr>
      <t xml:space="preserve">  ·  darwishqannan.com</t>
    </r>
  </si>
  <si>
    <t>Your report, ready to send: the subject, the text, and a live picture of the Overview.</t>
  </si>
  <si>
    <r>
      <t>Text:</t>
    </r>
    <r>
      <rPr>
        <sz val="9"/>
        <color rgb="FF7A7F8C"/>
        <rFont val="Aptos"/>
        <family val="2"/>
      </rPr>
      <t xml:space="preserve"> click the first line below, press Ctrl+Shift+↓ (Mac: Cmd+Shift+↓), then Ctrl+C, and paste.</t>
    </r>
  </si>
  <si>
    <r>
      <t>Snapshot:</t>
    </r>
    <r>
      <rPr>
        <sz val="9"/>
        <color rgb="FF7A7F8C"/>
        <rFont val="Aptos"/>
        <family val="2"/>
      </rPr>
      <t xml:space="preserve"> click the picture, press Ctrl+C, and paste it under the text.</t>
    </r>
  </si>
  <si>
    <t>5. At the end of the week, open Weekly Email, copy the text and the snapshot, and send them.</t>
  </si>
  <si>
    <t>Keep =TODAY() to report on today, or type a date to freeze a week. "This week" = the 7 days up to it.</t>
  </si>
  <si>
    <t>Above this many open points, a person shows as Overloaded. All open tasks count, even future ones.</t>
  </si>
  <si>
    <t>No effort chosen counts as M.</t>
  </si>
  <si>
    <t>All open work per person, including tasks that start later, in effort points (S, M, L). Everything here comes from the Tasks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</si>
</sst>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 mmm\ yyyy"/>
    <numFmt numFmtId="165" formatCode="[$-409]ddd\ d\ mmm"/>
  </numFmts>
  <fonts count="25" x14ac:knownFonts="1">
    <font>
      <sz val="11"/>
      <color theme="1"/>
      <name val="Calibri"/>
      <family val="2"/>
      <scheme val="minor"/>
    </font>
    <font>
      <b/>
      <sz val="20"/>
      <color rgb="FF14161F"/>
      <name val="Aptos"/>
    </font>
    <font>
      <sz val="10"/>
      <color rgb="FF7A7F8C"/>
      <name val="Aptos"/>
    </font>
    <font>
      <sz val="11"/>
      <color rgb="FF1F2430"/>
      <name val="Aptos"/>
    </font>
    <font>
      <b/>
      <sz val="11"/>
      <color rgb="FF1F2430"/>
      <name val="Aptos"/>
    </font>
    <font>
      <sz val="9"/>
      <color rgb="FF7A7F8C"/>
      <name val="Aptos"/>
    </font>
    <font>
      <b/>
      <sz val="11"/>
      <color rgb="FFFFFFFF"/>
      <name val="Aptos"/>
    </font>
    <font>
      <b/>
      <sz val="13"/>
      <color rgb="FF14161F"/>
      <name val="Aptos"/>
    </font>
    <font>
      <sz val="11"/>
      <color rgb="FF4A4F5C"/>
      <name val="Aptos"/>
    </font>
    <font>
      <b/>
      <sz val="24"/>
      <color rgb="FF14161F"/>
      <name val="Aptos"/>
    </font>
    <font>
      <b/>
      <sz val="8"/>
      <color rgb="FF7A7F8C"/>
      <name val="Aptos"/>
    </font>
    <font>
      <b/>
      <sz val="28"/>
      <color rgb="FF14161F"/>
      <name val="Aptos"/>
    </font>
    <font>
      <b/>
      <sz val="28"/>
      <color rgb="FFA12E24"/>
      <name val="Aptos"/>
    </font>
    <font>
      <b/>
      <sz val="28"/>
      <color rgb="FF8A5A00"/>
      <name val="Aptos"/>
    </font>
    <font>
      <b/>
      <sz val="10"/>
      <color rgb="FF6B4A00"/>
      <name val="Aptos"/>
    </font>
    <font>
      <b/>
      <sz val="11"/>
      <color rgb="FF14161F"/>
      <name val="Aptos"/>
    </font>
    <font>
      <b/>
      <sz val="9"/>
      <color rgb="FF7A7F8C"/>
      <name val="Aptos"/>
    </font>
    <font>
      <sz val="10"/>
      <color rgb="FF1F2430"/>
      <name val="Aptos"/>
    </font>
    <font>
      <sz val="11"/>
      <color rgb="FF1F2430"/>
      <name val="Aptos"/>
    </font>
    <font>
      <sz val="10"/>
      <color rgb="FF4A4F5C"/>
      <name val="Aptos"/>
    </font>
    <font>
      <b/>
      <sz val="11"/>
      <color rgb="FF7A7F8C"/>
      <name val="Aptos"/>
    </font>
    <font>
      <u/>
      <sz val="11"/>
      <color theme="10"/>
      <name val="Calibri"/>
      <family val="2"/>
      <scheme val="minor"/>
    </font>
    <font>
      <sz val="9"/>
      <color rgb="FF7A7F8C"/>
      <name val="Aptos"/>
      <family val="2"/>
    </font>
    <font>
      <b/>
      <sz val="9"/>
      <color rgb="FF14161F"/>
      <name val="Aptos"/>
      <family val="2"/>
    </font>
    <font>
      <sz val="11"/>
      <color rgb="FF1F243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6F4F0"/>
        <bgColor rgb="FFF6F4F0"/>
      </patternFill>
    </fill>
    <fill>
      <patternFill patternType="solid">
        <fgColor rgb="FFFFFFFF"/>
        <bgColor rgb="FFFFFFFF"/>
      </patternFill>
    </fill>
    <fill>
      <patternFill patternType="solid">
        <fgColor rgb="FFFFF7E3"/>
        <bgColor rgb="FFFFF7E3"/>
      </patternFill>
    </fill>
    <fill>
      <patternFill patternType="solid">
        <fgColor rgb="FF14161F"/>
        <bgColor rgb="FF14161F"/>
      </patternFill>
    </fill>
    <fill>
      <patternFill patternType="solid">
        <fgColor rgb="FF3A3F4D"/>
        <bgColor rgb="FF3A3F4D"/>
      </patternFill>
    </fill>
    <fill>
      <patternFill patternType="solid">
        <fgColor rgb="FFF7F5F1"/>
        <bgColor rgb="FFF7F5F1"/>
      </patternFill>
    </fill>
    <fill>
      <patternFill patternType="solid">
        <fgColor rgb="FFFBF0D6"/>
        <bgColor rgb="FFFBF0D6"/>
      </patternFill>
    </fill>
  </fills>
  <borders count="18">
    <border>
      <left/>
      <right/>
      <top/>
      <bottom/>
      <diagonal/>
    </border>
    <border>
      <left style="thin">
        <color rgb="FFE4DED3"/>
      </left>
      <right style="thin">
        <color rgb="FFE4DED3"/>
      </right>
      <top style="thin">
        <color rgb="FFE4DED3"/>
      </top>
      <bottom style="thin">
        <color rgb="FFE4DED3"/>
      </bottom>
      <diagonal/>
    </border>
    <border>
      <left/>
      <right/>
      <top/>
      <bottom style="thin">
        <color rgb="FFEEE9E0"/>
      </bottom>
      <diagonal/>
    </border>
    <border>
      <left style="thin">
        <color rgb="FFE4DED3"/>
      </left>
      <right/>
      <top style="thin">
        <color rgb="FFE4DED3"/>
      </top>
      <bottom/>
      <diagonal/>
    </border>
    <border>
      <left/>
      <right/>
      <top style="thin">
        <color rgb="FFE4DED3"/>
      </top>
      <bottom/>
      <diagonal/>
    </border>
    <border>
      <left/>
      <right style="thin">
        <color rgb="FFE4DED3"/>
      </right>
      <top style="thin">
        <color rgb="FFE4DED3"/>
      </top>
      <bottom/>
      <diagonal/>
    </border>
    <border>
      <left style="thin">
        <color rgb="FFE4DED3"/>
      </left>
      <right/>
      <top/>
      <bottom/>
      <diagonal/>
    </border>
    <border>
      <left/>
      <right/>
      <top/>
      <bottom/>
      <diagonal/>
    </border>
    <border>
      <left/>
      <right style="thin">
        <color rgb="FFE4DED3"/>
      </right>
      <top/>
      <bottom/>
      <diagonal/>
    </border>
    <border>
      <left style="thin">
        <color rgb="FFE4DED3"/>
      </left>
      <right/>
      <top/>
      <bottom style="thin">
        <color rgb="FFE4DED3"/>
      </bottom>
      <diagonal/>
    </border>
    <border>
      <left/>
      <right/>
      <top/>
      <bottom style="thin">
        <color rgb="FFE4DED3"/>
      </bottom>
      <diagonal/>
    </border>
    <border>
      <left/>
      <right style="thin">
        <color rgb="FFE4DED3"/>
      </right>
      <top/>
      <bottom style="thin">
        <color rgb="FFE4DED3"/>
      </bottom>
      <diagonal/>
    </border>
    <border>
      <left/>
      <right/>
      <top style="thin">
        <color rgb="FFEEE9E0"/>
      </top>
      <bottom/>
      <diagonal/>
    </border>
    <border>
      <left/>
      <right style="thin">
        <color rgb="FFE4DED3"/>
      </right>
      <top/>
      <bottom/>
      <diagonal/>
    </border>
    <border>
      <left style="thin">
        <color rgb="FFE4DED3"/>
      </left>
      <right/>
      <top style="thin">
        <color rgb="FFEEE9E0"/>
      </top>
      <bottom/>
      <diagonal/>
    </border>
    <border>
      <left/>
      <right style="thin">
        <color rgb="FFE4DED3"/>
      </right>
      <top style="thin">
        <color rgb="FFEEE9E0"/>
      </top>
      <bottom/>
      <diagonal/>
    </border>
    <border>
      <left style="thin">
        <color rgb="FFE4DED3"/>
      </left>
      <right style="thin">
        <color rgb="FFE4DED3"/>
      </right>
      <top style="thin">
        <color rgb="FFE4DED3"/>
      </top>
      <bottom/>
      <diagonal/>
    </border>
    <border>
      <left/>
      <right/>
      <top style="thin">
        <color rgb="FFE4DED3"/>
      </top>
      <bottom style="thin">
        <color rgb="FFE4DED3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6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3" borderId="7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12" xfId="0" applyFill="1" applyBorder="1"/>
    <xf numFmtId="0" fontId="5" fillId="2" borderId="0" xfId="0" applyFont="1" applyFill="1" applyAlignment="1">
      <alignment horizontal="left" vertical="center" indent="1"/>
    </xf>
    <xf numFmtId="0" fontId="1" fillId="2" borderId="0" xfId="0" applyFont="1" applyFill="1"/>
    <xf numFmtId="0" fontId="6" fillId="5" borderId="0" xfId="0" applyFont="1" applyFill="1" applyAlignment="1">
      <alignment horizontal="left" vertical="center" indent="1"/>
    </xf>
    <xf numFmtId="0" fontId="6" fillId="6" borderId="0" xfId="0" applyFont="1" applyFill="1" applyAlignment="1">
      <alignment horizontal="left" vertical="center" indent="1"/>
    </xf>
    <xf numFmtId="0" fontId="3" fillId="7" borderId="2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164" fontId="3" fillId="0" borderId="2" xfId="0" applyNumberFormat="1" applyFont="1" applyBorder="1" applyAlignment="1">
      <alignment horizontal="left" vertical="center" indent="1"/>
    </xf>
    <xf numFmtId="0" fontId="8" fillId="7" borderId="2" xfId="0" applyFont="1" applyFill="1" applyBorder="1" applyAlignment="1">
      <alignment horizontal="left" vertical="center" indent="1"/>
    </xf>
    <xf numFmtId="0" fontId="5" fillId="2" borderId="0" xfId="0" applyFont="1" applyFill="1"/>
    <xf numFmtId="0" fontId="18" fillId="3" borderId="2" xfId="0" applyFont="1" applyFill="1" applyBorder="1" applyAlignment="1">
      <alignment horizontal="left" vertical="center" indent="1"/>
    </xf>
    <xf numFmtId="9" fontId="18" fillId="3" borderId="2" xfId="0" applyNumberFormat="1" applyFont="1" applyFill="1" applyBorder="1" applyAlignment="1">
      <alignment horizontal="left" vertical="center" indent="1"/>
    </xf>
    <xf numFmtId="0" fontId="19" fillId="3" borderId="2" xfId="0" applyFont="1" applyFill="1" applyBorder="1" applyAlignment="1">
      <alignment horizontal="left" vertical="center" indent="1"/>
    </xf>
    <xf numFmtId="0" fontId="20" fillId="2" borderId="0" xfId="0" applyFont="1" applyFill="1" applyAlignment="1">
      <alignment horizontal="left" vertical="top" indent="1"/>
    </xf>
    <xf numFmtId="0" fontId="3" fillId="3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left" vertical="center" indent="1"/>
    </xf>
    <xf numFmtId="164" fontId="3" fillId="3" borderId="1" xfId="0" applyNumberFormat="1" applyFont="1" applyFill="1" applyBorder="1" applyAlignment="1">
      <alignment horizontal="left" vertical="center" indent="1"/>
    </xf>
    <xf numFmtId="0" fontId="7" fillId="2" borderId="0" xfId="0" applyFont="1" applyFill="1"/>
    <xf numFmtId="0" fontId="3" fillId="2" borderId="0" xfId="0" applyFont="1" applyFill="1" applyAlignment="1">
      <alignment horizontal="left" vertical="center" indent="1"/>
    </xf>
    <xf numFmtId="9" fontId="0" fillId="2" borderId="0" xfId="0" applyNumberFormat="1" applyFill="1"/>
    <xf numFmtId="0" fontId="24" fillId="0" borderId="0" xfId="0" applyFont="1" applyAlignment="1">
      <alignment horizontal="left" vertical="center" indent="1" shrinkToFit="1"/>
    </xf>
    <xf numFmtId="0" fontId="18" fillId="3" borderId="16" xfId="0" applyFont="1" applyFill="1" applyBorder="1" applyAlignment="1">
      <alignment horizontal="left" vertical="center" indent="1"/>
    </xf>
    <xf numFmtId="0" fontId="23" fillId="2" borderId="17" xfId="0" applyFont="1" applyFill="1" applyBorder="1" applyAlignment="1">
      <alignment horizontal="left" vertical="center" indent="1"/>
    </xf>
    <xf numFmtId="0" fontId="23" fillId="2" borderId="0" xfId="0" applyFont="1" applyFill="1" applyAlignment="1">
      <alignment horizontal="left" vertical="center" indent="1"/>
    </xf>
    <xf numFmtId="0" fontId="20" fillId="2" borderId="0" xfId="0" applyFont="1" applyFill="1" applyAlignment="1">
      <alignment horizontal="left" vertical="center" indent="1"/>
    </xf>
    <xf numFmtId="0" fontId="22" fillId="2" borderId="0" xfId="0" applyFont="1" applyFill="1"/>
    <xf numFmtId="0" fontId="22" fillId="2" borderId="0" xfId="1" applyFont="1" applyFill="1" applyAlignment="1">
      <alignment horizontal="right" vertical="center" indent="3"/>
    </xf>
    <xf numFmtId="0" fontId="0" fillId="2" borderId="0" xfId="0" applyFill="1" applyAlignment="1">
      <alignment horizontal="right" vertical="center" indent="3"/>
    </xf>
    <xf numFmtId="0" fontId="14" fillId="8" borderId="0" xfId="0" applyFont="1" applyFill="1" applyAlignment="1">
      <alignment horizontal="left" vertical="center" indent="1"/>
    </xf>
    <xf numFmtId="0" fontId="0" fillId="0" borderId="0" xfId="0"/>
    <xf numFmtId="0" fontId="10" fillId="3" borderId="3" xfId="0" applyFont="1" applyFill="1" applyBorder="1" applyAlignment="1">
      <alignment horizontal="left" indent="1"/>
    </xf>
    <xf numFmtId="0" fontId="0" fillId="3" borderId="4" xfId="0" applyFill="1" applyBorder="1"/>
    <xf numFmtId="0" fontId="0" fillId="3" borderId="5" xfId="0" applyFill="1" applyBorder="1"/>
    <xf numFmtId="0" fontId="16" fillId="3" borderId="6" xfId="0" applyFont="1" applyFill="1" applyBorder="1" applyAlignment="1">
      <alignment horizontal="left" vertical="center" indent="1"/>
    </xf>
    <xf numFmtId="9" fontId="11" fillId="3" borderId="6" xfId="0" applyNumberFormat="1" applyFont="1" applyFill="1" applyBorder="1" applyAlignment="1">
      <alignment horizontal="left" vertical="center" indent="1"/>
    </xf>
    <xf numFmtId="0" fontId="0" fillId="3" borderId="7" xfId="0" applyFill="1" applyBorder="1"/>
    <xf numFmtId="0" fontId="0" fillId="3" borderId="8" xfId="0" applyFill="1" applyBorder="1"/>
    <xf numFmtId="0" fontId="11" fillId="3" borderId="6" xfId="0" applyFont="1" applyFill="1" applyBorder="1" applyAlignment="1">
      <alignment horizontal="left" vertical="center" indent="1"/>
    </xf>
    <xf numFmtId="0" fontId="16" fillId="3" borderId="8" xfId="0" applyFont="1" applyFill="1" applyBorder="1" applyAlignment="1">
      <alignment horizontal="left" vertical="center" indent="1"/>
    </xf>
    <xf numFmtId="0" fontId="0" fillId="0" borderId="13" xfId="0" applyBorder="1"/>
    <xf numFmtId="0" fontId="13" fillId="3" borderId="6" xfId="0" applyFont="1" applyFill="1" applyBorder="1" applyAlignment="1">
      <alignment horizontal="left" vertical="center" indent="1"/>
    </xf>
    <xf numFmtId="0" fontId="15" fillId="3" borderId="3" xfId="0" applyFont="1" applyFill="1" applyBorder="1" applyAlignment="1">
      <alignment horizontal="left" indent="1"/>
    </xf>
    <xf numFmtId="0" fontId="9" fillId="2" borderId="0" xfId="0" applyFont="1" applyFill="1"/>
    <xf numFmtId="0" fontId="5" fillId="3" borderId="9" xfId="0" applyFont="1" applyFill="1" applyBorder="1" applyAlignment="1">
      <alignment horizontal="left" vertical="top" indent="1"/>
    </xf>
    <xf numFmtId="0" fontId="0" fillId="3" borderId="10" xfId="0" applyFill="1" applyBorder="1"/>
    <xf numFmtId="0" fontId="0" fillId="3" borderId="11" xfId="0" applyFill="1" applyBorder="1"/>
    <xf numFmtId="0" fontId="12" fillId="3" borderId="6" xfId="0" applyFont="1" applyFill="1" applyBorder="1" applyAlignment="1">
      <alignment horizontal="left" vertical="center" indent="1"/>
    </xf>
    <xf numFmtId="0" fontId="2" fillId="2" borderId="0" xfId="0" applyFont="1" applyFill="1"/>
    <xf numFmtId="0" fontId="17" fillId="3" borderId="12" xfId="0" applyFont="1" applyFill="1" applyBorder="1" applyAlignment="1">
      <alignment horizontal="left" vertical="center" indent="1"/>
    </xf>
    <xf numFmtId="0" fontId="0" fillId="0" borderId="12" xfId="0" applyBorder="1"/>
    <xf numFmtId="0" fontId="0" fillId="0" borderId="15" xfId="0" applyBorder="1"/>
    <xf numFmtId="165" fontId="17" fillId="3" borderId="12" xfId="0" applyNumberFormat="1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left" vertical="center" indent="1"/>
    </xf>
    <xf numFmtId="0" fontId="17" fillId="3" borderId="14" xfId="0" applyFont="1" applyFill="1" applyBorder="1" applyAlignment="1">
      <alignment horizontal="left" vertical="center" indent="1"/>
    </xf>
    <xf numFmtId="0" fontId="16" fillId="3" borderId="7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26">
    <dxf>
      <border>
        <left style="thin">
          <color rgb="FFE4DED3"/>
        </left>
      </border>
    </dxf>
    <dxf>
      <fill>
        <patternFill>
          <bgColor rgb="FFF6F4F0"/>
        </patternFill>
      </fill>
    </dxf>
    <dxf>
      <fill>
        <patternFill>
          <bgColor rgb="FFF6F4F0"/>
        </patternFill>
      </fill>
      <border>
        <top style="thin">
          <color rgb="FFE4DED3"/>
        </top>
      </border>
    </dxf>
    <dxf>
      <border>
        <right style="thin">
          <color rgb="FFE4DED3"/>
        </right>
      </border>
    </dxf>
    <dxf>
      <font>
        <b/>
        <color rgb="FF3B6B3E"/>
      </font>
      <fill>
        <patternFill patternType="solid">
          <fgColor rgb="FFE6F0E4"/>
          <bgColor rgb="FFE6F0E4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A12E24"/>
      </font>
      <fill>
        <patternFill patternType="solid">
          <fgColor rgb="FFF9DEDA"/>
          <bgColor rgb="FFF9DEDA"/>
        </patternFill>
      </fill>
    </dxf>
    <dxf>
      <font>
        <b/>
        <color rgb="FF6A3E8C"/>
      </font>
    </dxf>
    <dxf>
      <font>
        <b/>
        <color rgb="FFA12E24"/>
      </font>
    </dxf>
    <dxf>
      <font>
        <color rgb="FFA12E24"/>
      </font>
    </dxf>
    <dxf>
      <font>
        <b/>
        <color rgb="FF666666"/>
      </font>
      <fill>
        <patternFill patternType="solid">
          <fgColor rgb="FFEEEEEE"/>
          <bgColor rgb="FFEEEEEE"/>
        </patternFill>
      </fill>
    </dxf>
    <dxf>
      <font>
        <b/>
        <color rgb="FF2C5687"/>
      </font>
      <fill>
        <patternFill patternType="solid">
          <fgColor rgb="FFE4EDF7"/>
          <bgColor rgb="FFE4EDF7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6A3E8C"/>
      </font>
      <fill>
        <patternFill patternType="solid">
          <fgColor rgb="FFEDE3F3"/>
          <bgColor rgb="FFEDE3F3"/>
        </patternFill>
      </fill>
    </dxf>
    <dxf>
      <font>
        <b/>
        <color rgb="FFA12E24"/>
      </font>
      <fill>
        <patternFill patternType="solid">
          <fgColor rgb="FFF9DEDA"/>
          <bgColor rgb="FFF9DEDA"/>
        </patternFill>
      </fill>
    </dxf>
    <dxf>
      <font>
        <b/>
        <color rgb="FF3B6B3E"/>
      </font>
      <fill>
        <patternFill patternType="solid">
          <fgColor rgb="FFE6F0E4"/>
          <bgColor rgb="FFE6F0E4"/>
        </patternFill>
      </fill>
    </dxf>
    <dxf>
      <font>
        <b/>
        <color rgb="FFA12E24"/>
      </font>
    </dxf>
    <dxf>
      <fill>
        <patternFill>
          <bgColor rgb="FFFCEFD2"/>
        </patternFill>
      </fill>
    </dxf>
    <dxf>
      <font>
        <b/>
        <color rgb="FFA12E24"/>
      </font>
    </dxf>
    <dxf>
      <font>
        <strike/>
        <color rgb="FFA3A3A3"/>
      </font>
    </dxf>
    <dxf>
      <font>
        <b/>
        <color rgb="FF666666"/>
      </font>
      <fill>
        <patternFill patternType="solid">
          <fgColor rgb="FFEEEEEE"/>
          <bgColor rgb="FFEEEEEE"/>
        </patternFill>
      </fill>
    </dxf>
    <dxf>
      <font>
        <b/>
        <color rgb="FF2C5687"/>
      </font>
      <fill>
        <patternFill patternType="solid">
          <fgColor rgb="FFE4EDF7"/>
          <bgColor rgb="FFE4EDF7"/>
        </patternFill>
      </fill>
    </dxf>
    <dxf>
      <font>
        <b/>
        <color rgb="FF8A5A00"/>
      </font>
      <fill>
        <patternFill patternType="solid">
          <fgColor rgb="FFFCEFD2"/>
          <bgColor rgb="FFFCEFD2"/>
        </patternFill>
      </fill>
    </dxf>
    <dxf>
      <font>
        <b/>
        <color rgb="FF6A3E8C"/>
      </font>
      <fill>
        <patternFill patternType="solid">
          <fgColor rgb="FFEDE3F3"/>
          <bgColor rgb="FFEDE3F3"/>
        </patternFill>
      </fill>
    </dxf>
    <dxf>
      <font>
        <b/>
        <color rgb="FFA12E24"/>
      </font>
      <fill>
        <patternFill patternType="solid">
          <fgColor rgb="FFF9DEDA"/>
          <bgColor rgb="FFF9DEDA"/>
        </patternFill>
      </fill>
    </dxf>
    <dxf>
      <font>
        <b/>
        <color rgb="FF3B6B3E"/>
      </font>
      <fill>
        <patternFill patternType="solid">
          <fgColor rgb="FFE6F0E4"/>
          <bgColor rgb="FFE6F0E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dPt>
            <c:idx val="0"/>
            <c:bubble3D val="0"/>
            <c:spPr>
              <a:solidFill>
                <a:srgbClr val="E3A63E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3-B03D-47A4-8846-2ED72C6E54D7}"/>
              </c:ext>
            </c:extLst>
          </c:dPt>
          <c:dPt>
            <c:idx val="1"/>
            <c:bubble3D val="0"/>
            <c:spPr>
              <a:solidFill>
                <a:srgbClr val="ECE7DE"/>
              </a:solidFill>
              <a:ln>
                <a:noFill/>
              </a:ln>
              <a:effectLst/>
              <a:extLst>
                <a:ext uri="{91240B29-F687-4F45-9708-019B960494DF}">
                  <a14:hiddenLine xmlns:a14="http://schemas.microsoft.com/office/drawing/2010/main">
                    <a:noFill/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4-B03D-47A4-8846-2ED72C6E54D7}"/>
              </c:ext>
            </c:extLst>
          </c:dPt>
          <c:cat>
            <c:strRef>
              <c:f>Overview!$W$12:$W$13</c:f>
              <c:strCache>
                <c:ptCount val="2"/>
                <c:pt idx="0">
                  <c:v>Done</c:v>
                </c:pt>
                <c:pt idx="1">
                  <c:v>Remaining</c:v>
                </c:pt>
              </c:strCache>
            </c:strRef>
          </c:cat>
          <c:val>
            <c:numRef>
              <c:f>Overview!$X$12:$X$13</c:f>
              <c:numCache>
                <c:formatCode>General</c:formatCode>
                <c:ptCount val="2"/>
                <c:pt idx="0">
                  <c:v>10</c:v>
                </c:pt>
                <c:pt idx="1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3D-47A4-8846-2ED72C6E5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 sz="900">
              <a:solidFill>
                <a:srgbClr val="7A7F8C"/>
              </a:solidFill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prstDash val="solid"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F3A5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>
                    <a:solidFill>
                      <a:srgbClr val="1F243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[0]!TeamNames</c:f>
              <c:strCache>
                <c:ptCount val="5"/>
                <c:pt idx="0">
                  <c:v>Sara</c:v>
                </c:pt>
                <c:pt idx="1">
                  <c:v>Omar</c:v>
                </c:pt>
                <c:pt idx="2">
                  <c:v>Lina</c:v>
                </c:pt>
                <c:pt idx="3">
                  <c:v>Faisal</c:v>
                </c:pt>
                <c:pt idx="4">
                  <c:v>Reem</c:v>
                </c:pt>
              </c:strCache>
            </c:strRef>
          </c:cat>
          <c:val>
            <c:numRef>
              <c:f>[0]!TeamOpenPts</c:f>
              <c:numCache>
                <c:formatCode>General</c:formatCode>
                <c:ptCount val="5"/>
                <c:pt idx="0">
                  <c:v>8</c:v>
                </c:pt>
                <c:pt idx="1">
                  <c:v>6</c:v>
                </c:pt>
                <c:pt idx="2">
                  <c:v>6</c:v>
                </c:pt>
                <c:pt idx="3">
                  <c:v>10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4B-4521-9CB5-7831D82C3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01064224"/>
        <c:axId val="1701066624"/>
      </c:barChart>
      <c:catAx>
        <c:axId val="1701064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E4DED3"/>
            </a:solidFill>
          </a:ln>
        </c:spPr>
        <c:txPr>
          <a:bodyPr/>
          <a:lstStyle/>
          <a:p>
            <a:pPr>
              <a:defRPr sz="1000">
                <a:solidFill>
                  <a:srgbClr val="1F2430"/>
                </a:solidFill>
              </a:defRPr>
            </a:pPr>
            <a:endParaRPr lang="en-US"/>
          </a:p>
        </c:txPr>
        <c:crossAx val="1701066624"/>
        <c:crosses val="autoZero"/>
        <c:auto val="1"/>
        <c:lblAlgn val="ctr"/>
        <c:lblOffset val="100"/>
        <c:noMultiLvlLbl val="0"/>
      </c:catAx>
      <c:valAx>
        <c:axId val="1701066624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9525" cap="flat" cmpd="sng" algn="ctr">
                <a:solidFill>
                  <a:sysClr val="windowText" lastClr="000000">
                    <a:tint val="75000"/>
                    <a:shade val="95000"/>
                    <a:satMod val="105000"/>
                  </a:sysClr>
                </a:solidFill>
                <a:prstDash val="solid"/>
                <a:round/>
              </a14:hiddenLine>
            </a:ext>
          </a:extLst>
        </c:spPr>
        <c:crossAx val="1701064224"/>
        <c:crosses val="autoZero"/>
        <c:crossBetween val="between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prstDash val="solid"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v>Late</c:v>
          </c:tx>
          <c:spPr>
            <a:solidFill>
              <a:srgbClr val="C8574C"/>
            </a:solidFill>
          </c:spPr>
          <c:invertIfNegative val="0"/>
          <c:cat>
            <c:strRef>
              <c:f>[0]!TeamNames</c:f>
              <c:strCache>
                <c:ptCount val="5"/>
                <c:pt idx="0">
                  <c:v>Sara</c:v>
                </c:pt>
                <c:pt idx="1">
                  <c:v>Omar</c:v>
                </c:pt>
                <c:pt idx="2">
                  <c:v>Lina</c:v>
                </c:pt>
                <c:pt idx="3">
                  <c:v>Faisal</c:v>
                </c:pt>
                <c:pt idx="4">
                  <c:v>Reem</c:v>
                </c:pt>
              </c:strCache>
            </c:strRef>
          </c:cat>
          <c:val>
            <c:numRef>
              <c:f>[0]!TeamLatePts</c:f>
              <c:numCache>
                <c:formatCode>General</c:formatCode>
                <c:ptCount val="5"/>
                <c:pt idx="0">
                  <c:v>5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A4-444B-BDD3-0A9FAFA958C0}"/>
            </c:ext>
          </c:extLst>
        </c:ser>
        <c:ser>
          <c:idx val="1"/>
          <c:order val="1"/>
          <c:tx>
            <c:v>Blocked</c:v>
          </c:tx>
          <c:spPr>
            <a:solidFill>
              <a:srgbClr val="9A7BB5"/>
            </a:solidFill>
          </c:spPr>
          <c:invertIfNegative val="0"/>
          <c:cat>
            <c:strRef>
              <c:f>[0]!TeamNames</c:f>
              <c:strCache>
                <c:ptCount val="5"/>
                <c:pt idx="0">
                  <c:v>Sara</c:v>
                </c:pt>
                <c:pt idx="1">
                  <c:v>Omar</c:v>
                </c:pt>
                <c:pt idx="2">
                  <c:v>Lina</c:v>
                </c:pt>
                <c:pt idx="3">
                  <c:v>Faisal</c:v>
                </c:pt>
                <c:pt idx="4">
                  <c:v>Reem</c:v>
                </c:pt>
              </c:strCache>
            </c:strRef>
          </c:cat>
          <c:val>
            <c:numRef>
              <c:f>[0]!TeamBlockedPts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A4-444B-BDD3-0A9FAFA958C0}"/>
            </c:ext>
          </c:extLst>
        </c:ser>
        <c:ser>
          <c:idx val="2"/>
          <c:order val="2"/>
          <c:tx>
            <c:v>Due soon</c:v>
          </c:tx>
          <c:spPr>
            <a:solidFill>
              <a:srgbClr val="E3A63E"/>
            </a:solidFill>
          </c:spPr>
          <c:invertIfNegative val="0"/>
          <c:cat>
            <c:strRef>
              <c:f>[0]!TeamNames</c:f>
              <c:strCache>
                <c:ptCount val="5"/>
                <c:pt idx="0">
                  <c:v>Sara</c:v>
                </c:pt>
                <c:pt idx="1">
                  <c:v>Omar</c:v>
                </c:pt>
                <c:pt idx="2">
                  <c:v>Lina</c:v>
                </c:pt>
                <c:pt idx="3">
                  <c:v>Faisal</c:v>
                </c:pt>
                <c:pt idx="4">
                  <c:v>Reem</c:v>
                </c:pt>
              </c:strCache>
            </c:strRef>
          </c:cat>
          <c:val>
            <c:numRef>
              <c:f>[0]!TeamSoonPts</c:f>
              <c:numCache>
                <c:formatCode>General</c:formatCode>
                <c:ptCount val="5"/>
                <c:pt idx="0">
                  <c:v>3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A4-444B-BDD3-0A9FAFA958C0}"/>
            </c:ext>
          </c:extLst>
        </c:ser>
        <c:ser>
          <c:idx val="3"/>
          <c:order val="3"/>
          <c:tx>
            <c:v>Other open</c:v>
          </c:tx>
          <c:spPr>
            <a:solidFill>
              <a:srgbClr val="2F3A56"/>
            </a:solidFill>
          </c:spPr>
          <c:invertIfNegative val="0"/>
          <c:cat>
            <c:strRef>
              <c:f>[0]!TeamNames</c:f>
              <c:strCache>
                <c:ptCount val="5"/>
                <c:pt idx="0">
                  <c:v>Sara</c:v>
                </c:pt>
                <c:pt idx="1">
                  <c:v>Omar</c:v>
                </c:pt>
                <c:pt idx="2">
                  <c:v>Lina</c:v>
                </c:pt>
                <c:pt idx="3">
                  <c:v>Faisal</c:v>
                </c:pt>
                <c:pt idx="4">
                  <c:v>Reem</c:v>
                </c:pt>
              </c:strCache>
            </c:strRef>
          </c:cat>
          <c:val>
            <c:numRef>
              <c:f>[0]!TeamOtherPts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10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A4-444B-BDD3-0A9FAFA95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01082464"/>
        <c:axId val="1701084384"/>
      </c:barChart>
      <c:catAx>
        <c:axId val="17010824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E4DED3"/>
            </a:solidFill>
          </a:ln>
        </c:spPr>
        <c:txPr>
          <a:bodyPr/>
          <a:lstStyle/>
          <a:p>
            <a:pPr>
              <a:defRPr sz="1000">
                <a:solidFill>
                  <a:srgbClr val="1F2430"/>
                </a:solidFill>
              </a:defRPr>
            </a:pPr>
            <a:endParaRPr lang="en-US"/>
          </a:p>
        </c:txPr>
        <c:crossAx val="1701084384"/>
        <c:crosses val="autoZero"/>
        <c:auto val="1"/>
        <c:lblAlgn val="ctr"/>
        <c:lblOffset val="100"/>
        <c:noMultiLvlLbl val="0"/>
      </c:catAx>
      <c:valAx>
        <c:axId val="1701084384"/>
        <c:scaling>
          <c:orientation val="minMax"/>
        </c:scaling>
        <c:delete val="0"/>
        <c:axPos val="b"/>
        <c:majorGridlines>
          <c:spPr>
            <a:ln>
              <a:solidFill>
                <a:srgbClr val="EEE9E0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9525" cap="flat" cmpd="sng" algn="ctr">
                <a:solidFill>
                  <a:sysClr val="windowText" lastClr="000000">
                    <a:tint val="75000"/>
                    <a:shade val="95000"/>
                    <a:satMod val="105000"/>
                  </a:sysClr>
                </a:solidFill>
                <a:prstDash val="solid"/>
                <a:round/>
              </a14:hiddenLine>
            </a:ext>
          </a:extLst>
        </c:spPr>
        <c:txPr>
          <a:bodyPr/>
          <a:lstStyle/>
          <a:p>
            <a:pPr>
              <a:defRPr sz="900"/>
            </a:pPr>
            <a:endParaRPr lang="en-US"/>
          </a:p>
        </c:txPr>
        <c:crossAx val="1701082464"/>
        <c:crosses val="max"/>
        <c:crossBetween val="between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t"/>
      <c:overlay val="0"/>
      <c:txPr>
        <a:bodyPr/>
        <a:lstStyle/>
        <a:p>
          <a:pPr>
            <a:defRPr sz="900">
              <a:solidFill>
                <a:srgbClr val="7A7F8C"/>
              </a:solidFill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prstDash val="solid"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tint val="75000"/>
              <a:shade val="95000"/>
              <a:satMod val="10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wishqannan.com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11</xdr:row>
      <xdr:rowOff>57150</xdr:rowOff>
    </xdr:from>
    <xdr:to>
      <xdr:col>11</xdr:col>
      <xdr:colOff>593725</xdr:colOff>
      <xdr:row>25</xdr:row>
      <xdr:rowOff>88900</xdr:rowOff>
    </xdr:to>
    <xdr:graphicFrame macro="">
      <xdr:nvGraphicFramePr>
        <xdr:cNvPr id="2" name="ProgressChart">
          <a:extLst>
            <a:ext uri="{FF2B5EF4-FFF2-40B4-BE49-F238E27FC236}">
              <a16:creationId xmlns:a16="http://schemas.microsoft.com/office/drawing/2014/main" id="{97E6FB71-5E04-6C64-FEFE-EAF953019E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239712</xdr:colOff>
      <xdr:row>16</xdr:row>
      <xdr:rowOff>3968</xdr:rowOff>
    </xdr:from>
    <xdr:to>
      <xdr:col>7</xdr:col>
      <xdr:colOff>373062</xdr:colOff>
      <xdr:row>18</xdr:row>
      <xdr:rowOff>130968</xdr:rowOff>
    </xdr:to>
    <xdr:sp macro="" textlink="$X$14">
      <xdr:nvSpPr>
        <xdr:cNvPr id="3" name="ProgressLabel">
          <a:extLst>
            <a:ext uri="{FF2B5EF4-FFF2-40B4-BE49-F238E27FC236}">
              <a16:creationId xmlns:a16="http://schemas.microsoft.com/office/drawing/2014/main" id="{C0C73291-692A-BDA4-2BB0-C2E2B9FBBB86}"/>
            </a:ext>
          </a:extLst>
        </xdr:cNvPr>
        <xdr:cNvSpPr txBox="1"/>
      </xdr:nvSpPr>
      <xdr:spPr>
        <a:xfrm>
          <a:off x="2620962" y="3880643"/>
          <a:ext cx="1524000" cy="508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fld id="{DA4BC42E-DAB3-4DA6-ABB1-D6C9CCE5AF3F}" type="TxLink">
            <a:rPr lang="en-US" sz="2200" b="1" i="0" u="none" strike="noStrike">
              <a:solidFill>
                <a:srgbClr val="14161F"/>
              </a:solidFill>
              <a:latin typeface="Aptos" panose="020B0004020202020204" pitchFamily="34" charset="0"/>
              <a:ea typeface="Calibri"/>
              <a:cs typeface="Calibri"/>
            </a:rPr>
            <a:pPr algn="ctr"/>
            <a:t>22%</a:t>
          </a:fld>
          <a:endParaRPr lang="en-US" sz="2200" b="1">
            <a:solidFill>
              <a:srgbClr val="14161F"/>
            </a:solidFill>
            <a:latin typeface="Aptos" panose="020B0004020202020204" pitchFamily="34" charset="0"/>
          </a:endParaRPr>
        </a:p>
      </xdr:txBody>
    </xdr:sp>
    <xdr:clientData/>
  </xdr:twoCellAnchor>
  <xdr:twoCellAnchor>
    <xdr:from>
      <xdr:col>13</xdr:col>
      <xdr:colOff>101600</xdr:colOff>
      <xdr:row>11</xdr:row>
      <xdr:rowOff>57150</xdr:rowOff>
    </xdr:from>
    <xdr:to>
      <xdr:col>19</xdr:col>
      <xdr:colOff>593725</xdr:colOff>
      <xdr:row>25</xdr:row>
      <xdr:rowOff>88900</xdr:rowOff>
    </xdr:to>
    <xdr:graphicFrame macro="">
      <xdr:nvGraphicFramePr>
        <xdr:cNvPr id="4" name="LoadChart">
          <a:extLst>
            <a:ext uri="{FF2B5EF4-FFF2-40B4-BE49-F238E27FC236}">
              <a16:creationId xmlns:a16="http://schemas.microsoft.com/office/drawing/2014/main" id="{E523986F-BADB-28AE-39BE-1A6125E839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492125</xdr:colOff>
      <xdr:row>0</xdr:row>
      <xdr:rowOff>63500</xdr:rowOff>
    </xdr:from>
    <xdr:to>
      <xdr:col>20</xdr:col>
      <xdr:colOff>0</xdr:colOff>
      <xdr:row>0</xdr:row>
      <xdr:rowOff>266700</xdr:rowOff>
    </xdr:to>
    <xdr:pic>
      <xdr:nvPicPr>
        <xdr:cNvPr id="6" name="DQMark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B57F7C-B0E1-BDE2-11A3-4D9380BA4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7725" y="63500"/>
          <a:ext cx="203200" cy="203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21</xdr:row>
      <xdr:rowOff>76200</xdr:rowOff>
    </xdr:from>
    <xdr:to>
      <xdr:col>10</xdr:col>
      <xdr:colOff>2965450</xdr:colOff>
      <xdr:row>41</xdr:row>
      <xdr:rowOff>88900</xdr:rowOff>
    </xdr:to>
    <xdr:graphicFrame macro="">
      <xdr:nvGraphicFramePr>
        <xdr:cNvPr id="2" name="TeamStatusChart">
          <a:extLst>
            <a:ext uri="{FF2B5EF4-FFF2-40B4-BE49-F238E27FC236}">
              <a16:creationId xmlns:a16="http://schemas.microsoft.com/office/drawing/2014/main" id="{26FF2D37-2EAC-5C74-2CCA-D18FA7B132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6</xdr:row>
          <xdr:rowOff>0</xdr:rowOff>
        </xdr:from>
        <xdr:to>
          <xdr:col>5</xdr:col>
          <xdr:colOff>0</xdr:colOff>
          <xdr:row>25</xdr:row>
          <xdr:rowOff>99704</xdr:rowOff>
        </xdr:to>
        <xdr:pic>
          <xdr:nvPicPr>
            <xdr:cNvPr id="2049" name="OverviewSnapshot">
              <a:extLst>
                <a:ext uri="{FF2B5EF4-FFF2-40B4-BE49-F238E27FC236}">
                  <a16:creationId xmlns:a16="http://schemas.microsoft.com/office/drawing/2014/main" id="{78303D85-E19E-F46F-C816-F359D7274BC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Overview!$B$2:$T$36" spid="_x0000_s20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010400" y="1533525"/>
              <a:ext cx="5591175" cy="4081154"/>
            </a:xfrm>
            <a:prstGeom prst="rect">
              <a:avLst/>
            </a:prstGeom>
            <a:noFill/>
            <a:ln w="9525">
              <a:solidFill>
                <a:srgbClr val="E4DED3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ks" displayName="Tasks" ref="A4:R1004">
  <autoFilter ref="A4:R1004" xr:uid="{00000000-0009-0000-0100-000001000000}"/>
  <tableColumns count="18">
    <tableColumn id="1" xr3:uid="{00000000-0010-0000-0000-000001000000}" name="ID">
      <calculatedColumnFormula array="1">IF(Tasks[[#This Row],[Task]]="","","T-"&amp;TEXT(ROW()-ROW(Tasks[#Headers]),"000"))</calculatedColumnFormula>
    </tableColumn>
    <tableColumn id="2" xr3:uid="{00000000-0010-0000-0000-000002000000}" name="Task"/>
    <tableColumn id="3" xr3:uid="{00000000-0010-0000-0000-000003000000}" name="Owner"/>
    <tableColumn id="4" xr3:uid="{00000000-0010-0000-0000-000004000000}" name="Priority"/>
    <tableColumn id="5" xr3:uid="{00000000-0010-0000-0000-000005000000}" name="Effort"/>
    <tableColumn id="6" xr3:uid="{00000000-0010-0000-0000-000006000000}" name="Start"/>
    <tableColumn id="7" xr3:uid="{00000000-0010-0000-0000-000007000000}" name="Due"/>
    <tableColumn id="8" xr3:uid="{00000000-0010-0000-0000-000008000000}" name="Completed"/>
    <tableColumn id="9" xr3:uid="{00000000-0010-0000-0000-000009000000}" name="Blocked"/>
    <tableColumn id="10" xr3:uid="{00000000-0010-0000-0000-00000A000000}" name="Notes"/>
    <tableColumn id="11" xr3:uid="{00000000-0010-0000-0000-00000B000000}" name="Status">
      <calculatedColumnFormula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calculatedColumnFormula>
    </tableColumn>
    <tableColumn id="12" xr3:uid="{00000000-0010-0000-0000-00000C000000}" name="Days">
      <calculatedColumnFormula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calculatedColumnFormula>
    </tableColumn>
    <tableColumn id="13" xr3:uid="{00000000-0010-0000-0000-00000D000000}" name="Points">
      <calculatedColumnFormula>IF(Tasks[[#This Row],[Task]]="","",IFERROR(VLOOKUP(IF(Tasks[[#This Row],[Effort]]="","M",Tasks[[#This Row],[Effort]]),EffortTable,2,FALSE),0))</calculatedColumnFormula>
    </tableColumn>
    <tableColumn id="14" xr3:uid="{00000000-0010-0000-0000-00000E000000}" name="SortKey">
      <calculatedColumnFormula>IF(Tasks[[#This Row],[Task]]="","",IFERROR(MATCH(Tasks[[#This Row],[Status]],{"Late","Blocked","Due soon"},0),9)*100000+N(Tasks[[#This Row],[Due]]))</calculatedColumnFormula>
    </tableColumn>
    <tableColumn id="15" xr3:uid="{00000000-0010-0000-0000-00000F000000}" name="LineDone">
      <calculatedColumnFormula array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calculatedColumnFormula>
    </tableColumn>
    <tableColumn id="16" xr3:uid="{00000000-0010-0000-0000-000010000000}" name="LineLate">
      <calculatedColumnFormula array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calculatedColumnFormula>
    </tableColumn>
    <tableColumn id="17" xr3:uid="{00000000-0010-0000-0000-000011000000}" name="LineBlocked">
      <calculatedColumnFormula array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calculatedColumnFormula>
    </tableColumn>
    <tableColumn id="18" xr3:uid="{00000000-0010-0000-0000-000012000000}" name="LineSoon">
      <calculatedColumnFormula array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rwishqannan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A63E"/>
    <pageSetUpPr fitToPage="1"/>
  </sheetPr>
  <dimension ref="A1:Z45"/>
  <sheetViews>
    <sheetView showGridLines="0" tabSelected="1" zoomScale="90" workbookViewId="0">
      <selection activeCell="B2" sqref="B2:T2"/>
    </sheetView>
  </sheetViews>
  <sheetFormatPr defaultRowHeight="15" x14ac:dyDescent="0.25"/>
  <cols>
    <col min="1" max="1" width="2" customWidth="1"/>
    <col min="2" max="4" width="10.42578125" customWidth="1"/>
    <col min="5" max="5" width="2.42578125" customWidth="1"/>
    <col min="6" max="8" width="10.42578125" customWidth="1"/>
    <col min="9" max="9" width="2.42578125" customWidth="1"/>
    <col min="10" max="12" width="10.42578125" customWidth="1"/>
    <col min="13" max="13" width="2.42578125" customWidth="1"/>
    <col min="14" max="16" width="10.42578125" customWidth="1"/>
    <col min="17" max="17" width="2.42578125" customWidth="1"/>
    <col min="18" max="20" width="10.42578125" customWidth="1"/>
    <col min="21" max="21" width="2" customWidth="1"/>
    <col min="23" max="24" width="13" hidden="1" customWidth="1"/>
  </cols>
  <sheetData>
    <row r="1" spans="1:26" ht="26.1" customHeight="1" x14ac:dyDescent="0.25">
      <c r="A1" s="1"/>
      <c r="B1" s="36" t="s">
        <v>105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"/>
      <c r="V1" s="1"/>
      <c r="W1" s="1"/>
      <c r="X1" s="1"/>
      <c r="Y1" s="1"/>
      <c r="Z1" s="1"/>
    </row>
    <row r="2" spans="1:26" ht="36" customHeight="1" x14ac:dyDescent="0.5">
      <c r="A2" s="1"/>
      <c r="B2" s="52" t="str">
        <f>TeamName</f>
        <v>Growth Team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1"/>
      <c r="V2" s="1"/>
      <c r="W2" s="1"/>
      <c r="X2" s="1"/>
      <c r="Y2" s="1"/>
      <c r="Z2" s="1"/>
    </row>
    <row r="3" spans="1:26" x14ac:dyDescent="0.25">
      <c r="A3" s="1"/>
      <c r="B3" s="57" t="str">
        <f ca="1">"Weekly overview  ·  "&amp;TEXT(ReportDate,"[$-409]dddd d mmmm yyyy")</f>
        <v>Weekly overview  ·  Saturday 24 October 2026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1"/>
      <c r="V3" s="1"/>
      <c r="W3" s="1"/>
      <c r="X3" s="1"/>
      <c r="Y3" s="1"/>
      <c r="Z3" s="1"/>
    </row>
    <row r="4" spans="1:26" ht="8.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95" customHeight="1" x14ac:dyDescent="0.25">
      <c r="A5" s="1"/>
      <c r="B5" s="40" t="s">
        <v>0</v>
      </c>
      <c r="C5" s="41"/>
      <c r="D5" s="42"/>
      <c r="E5" s="1"/>
      <c r="F5" s="40" t="s">
        <v>1</v>
      </c>
      <c r="G5" s="41"/>
      <c r="H5" s="42"/>
      <c r="I5" s="1"/>
      <c r="J5" s="40" t="s">
        <v>2</v>
      </c>
      <c r="K5" s="41"/>
      <c r="L5" s="42"/>
      <c r="M5" s="1"/>
      <c r="N5" s="40" t="s">
        <v>3</v>
      </c>
      <c r="O5" s="41"/>
      <c r="P5" s="42"/>
      <c r="Q5" s="1"/>
      <c r="R5" s="40" t="s">
        <v>4</v>
      </c>
      <c r="S5" s="41"/>
      <c r="T5" s="42"/>
      <c r="U5" s="1"/>
      <c r="V5" s="1"/>
      <c r="W5" s="1"/>
      <c r="X5" s="1"/>
      <c r="Y5" s="1"/>
      <c r="Z5" s="1"/>
    </row>
    <row r="6" spans="1:26" ht="44.1" customHeight="1" x14ac:dyDescent="0.25">
      <c r="A6" s="1"/>
      <c r="B6" s="44">
        <f ca="1">X14</f>
        <v>0.21739130434782608</v>
      </c>
      <c r="C6" s="45"/>
      <c r="D6" s="46"/>
      <c r="E6" s="1"/>
      <c r="F6" s="56">
        <f ca="1">COUNTIFS(Tasks[Status],"Late")</f>
        <v>2</v>
      </c>
      <c r="G6" s="45"/>
      <c r="H6" s="46"/>
      <c r="I6" s="1"/>
      <c r="J6" s="50">
        <f ca="1">COUNTIFS(Tasks[Status],"Due soon")</f>
        <v>3</v>
      </c>
      <c r="K6" s="45"/>
      <c r="L6" s="46"/>
      <c r="M6" s="1"/>
      <c r="N6" s="47">
        <f ca="1">COUNTIFS(Tasks[Completed],"&gt;"&amp;ReportDate-7,Tasks[Completed],"&lt;="&amp;ReportDate)</f>
        <v>4</v>
      </c>
      <c r="O6" s="45"/>
      <c r="P6" s="46"/>
      <c r="Q6" s="1"/>
      <c r="R6" s="47">
        <f ca="1">COUNTA(Tasks[Task])-COUNTIFS(Tasks[Status],"Done")</f>
        <v>10</v>
      </c>
      <c r="S6" s="45"/>
      <c r="T6" s="46"/>
      <c r="U6" s="1"/>
      <c r="V6" s="1"/>
      <c r="W6" s="1"/>
      <c r="X6" s="1"/>
      <c r="Y6" s="1"/>
      <c r="Z6" s="1"/>
    </row>
    <row r="7" spans="1:26" ht="21.95" customHeight="1" x14ac:dyDescent="0.25">
      <c r="A7" s="1"/>
      <c r="B7" s="53" t="str">
        <f ca="1">"By task count: "&amp;TEXT(X15,"0%")</f>
        <v>By task count: 38%</v>
      </c>
      <c r="C7" s="54"/>
      <c r="D7" s="55"/>
      <c r="E7" s="1"/>
      <c r="F7" s="53" t="str">
        <f ca="1">_xlfn.LET(_xlpm.n,COUNTIFS(Tasks[Status],"Blocked"),IF(_xlpm.n=0,"Nothing blocked",_xlpm.n&amp;" blocked"))</f>
        <v>1 blocked</v>
      </c>
      <c r="G7" s="54"/>
      <c r="H7" s="55"/>
      <c r="I7" s="1"/>
      <c r="J7" s="53" t="str">
        <f>"In the next "&amp;DueSoonDays&amp;" working days"</f>
        <v>In the next 5 working days</v>
      </c>
      <c r="K7" s="54"/>
      <c r="L7" s="55"/>
      <c r="M7" s="1"/>
      <c r="N7" s="53" t="str">
        <f ca="1">SUMIFS(Tasks[Points],Tasks[Completed],"&gt;"&amp;ReportDate-7,Tasks[Completed],"&lt;="&amp;ReportDate)&amp;" points of work"</f>
        <v>6 points of work</v>
      </c>
      <c r="O7" s="54"/>
      <c r="P7" s="55"/>
      <c r="Q7" s="1"/>
      <c r="R7" s="53" t="str">
        <f ca="1">SUM(Tasks[Points])-X12&amp;" points still open"</f>
        <v>36 points still open</v>
      </c>
      <c r="S7" s="54"/>
      <c r="T7" s="55"/>
      <c r="U7" s="1"/>
      <c r="V7" s="1"/>
      <c r="W7" s="1"/>
      <c r="X7" s="1"/>
      <c r="Y7" s="1"/>
      <c r="Z7" s="1"/>
    </row>
    <row r="8" spans="1:26" ht="1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1" customHeight="1" x14ac:dyDescent="0.25">
      <c r="A9" s="1"/>
      <c r="B9" s="38" t="str">
        <f ca="1">IF(COUNTA(Tasks[Task])=0,"",IF(X15-X14&gt;=0.1,"Heads up: "&amp;TEXT(X15,"0%")&amp;" of the tasks are done, but only "&amp;TEXT(X14,"0%")&amp;" of the work. The bigger tasks are still open.",IF(X14-X15&gt;=0.1,"The heavy lifting is done: "&amp;TEXT(X14,"0%")&amp;" of the work is finished, with smaller tasks still open.","Task count and effort tell the same story this week.")))</f>
        <v>Heads up: 38% of the tasks are done, but only 22% of the work. The bigger tasks are still open.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1"/>
      <c r="V9" s="1"/>
      <c r="W9" s="1"/>
      <c r="X9" s="1"/>
      <c r="Y9" s="1"/>
      <c r="Z9" s="1"/>
    </row>
    <row r="10" spans="1:26" ht="1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1" customHeight="1" x14ac:dyDescent="0.25">
      <c r="A11" s="1"/>
      <c r="B11" s="51" t="s">
        <v>5</v>
      </c>
      <c r="C11" s="41"/>
      <c r="D11" s="41"/>
      <c r="E11" s="41"/>
      <c r="F11" s="41"/>
      <c r="G11" s="41"/>
      <c r="H11" s="41"/>
      <c r="I11" s="41"/>
      <c r="J11" s="41"/>
      <c r="K11" s="41"/>
      <c r="L11" s="42"/>
      <c r="M11" s="1"/>
      <c r="N11" s="51" t="s">
        <v>6</v>
      </c>
      <c r="O11" s="41"/>
      <c r="P11" s="41"/>
      <c r="Q11" s="41"/>
      <c r="R11" s="41"/>
      <c r="S11" s="41"/>
      <c r="T11" s="42"/>
      <c r="U11" s="1"/>
      <c r="V11" s="1"/>
      <c r="W11" s="1"/>
      <c r="X11" s="1"/>
      <c r="Y11" s="1"/>
      <c r="Z11" s="1"/>
    </row>
    <row r="12" spans="1:26" x14ac:dyDescent="0.25">
      <c r="A12" s="1"/>
      <c r="B12" s="7"/>
      <c r="C12" s="3"/>
      <c r="D12" s="3"/>
      <c r="E12" s="3"/>
      <c r="F12" s="3"/>
      <c r="G12" s="3"/>
      <c r="H12" s="3"/>
      <c r="I12" s="3"/>
      <c r="J12" s="3"/>
      <c r="K12" s="3"/>
      <c r="L12" s="4"/>
      <c r="M12" s="1"/>
      <c r="N12" s="7"/>
      <c r="O12" s="3"/>
      <c r="P12" s="3"/>
      <c r="Q12" s="3"/>
      <c r="R12" s="3"/>
      <c r="S12" s="3"/>
      <c r="T12" s="4"/>
      <c r="U12" s="1"/>
      <c r="V12" s="1"/>
      <c r="W12" s="1" t="s">
        <v>103</v>
      </c>
      <c r="X12" s="1">
        <f ca="1">SUMIFS(Tasks[Points],Tasks[Status],"Done")</f>
        <v>10</v>
      </c>
      <c r="Y12" s="1"/>
      <c r="Z12" s="1"/>
    </row>
    <row r="13" spans="1:26" x14ac:dyDescent="0.25">
      <c r="A13" s="1"/>
      <c r="B13" s="7"/>
      <c r="C13" s="3"/>
      <c r="D13" s="3"/>
      <c r="E13" s="3"/>
      <c r="F13" s="3"/>
      <c r="G13" s="3"/>
      <c r="H13" s="3"/>
      <c r="I13" s="3"/>
      <c r="J13" s="3"/>
      <c r="K13" s="3"/>
      <c r="L13" s="4"/>
      <c r="M13" s="1"/>
      <c r="N13" s="7"/>
      <c r="O13" s="3"/>
      <c r="P13" s="3"/>
      <c r="Q13" s="3"/>
      <c r="R13" s="3"/>
      <c r="S13" s="3"/>
      <c r="T13" s="4"/>
      <c r="U13" s="1"/>
      <c r="V13" s="1"/>
      <c r="W13" s="1" t="s">
        <v>104</v>
      </c>
      <c r="X13" s="1">
        <f ca="1">SUM(Tasks[Points])-X12</f>
        <v>36</v>
      </c>
      <c r="Y13" s="1"/>
      <c r="Z13" s="1"/>
    </row>
    <row r="14" spans="1:26" x14ac:dyDescent="0.25">
      <c r="A14" s="1"/>
      <c r="B14" s="7"/>
      <c r="C14" s="3"/>
      <c r="D14" s="3"/>
      <c r="E14" s="3"/>
      <c r="F14" s="3"/>
      <c r="G14" s="3"/>
      <c r="H14" s="3"/>
      <c r="I14" s="3"/>
      <c r="J14" s="3"/>
      <c r="K14" s="3"/>
      <c r="L14" s="4"/>
      <c r="M14" s="1"/>
      <c r="N14" s="7"/>
      <c r="O14" s="3"/>
      <c r="P14" s="3"/>
      <c r="Q14" s="3"/>
      <c r="R14" s="3"/>
      <c r="S14" s="3"/>
      <c r="T14" s="4"/>
      <c r="U14" s="1"/>
      <c r="V14" s="1"/>
      <c r="W14" s="1"/>
      <c r="X14" s="29">
        <f ca="1">IFERROR(X12/(X12+X13),0)</f>
        <v>0.21739130434782608</v>
      </c>
      <c r="Y14" s="1"/>
      <c r="Z14" s="1"/>
    </row>
    <row r="15" spans="1:26" x14ac:dyDescent="0.25">
      <c r="A15" s="1"/>
      <c r="B15" s="7"/>
      <c r="C15" s="3"/>
      <c r="D15" s="3"/>
      <c r="E15" s="3"/>
      <c r="F15" s="3"/>
      <c r="G15" s="3"/>
      <c r="H15" s="3"/>
      <c r="I15" s="3"/>
      <c r="J15" s="3"/>
      <c r="K15" s="3"/>
      <c r="L15" s="4"/>
      <c r="M15" s="1"/>
      <c r="N15" s="7"/>
      <c r="O15" s="3"/>
      <c r="P15" s="3"/>
      <c r="Q15" s="3"/>
      <c r="R15" s="3"/>
      <c r="S15" s="3"/>
      <c r="T15" s="4"/>
      <c r="U15" s="1"/>
      <c r="V15" s="1"/>
      <c r="W15" s="1"/>
      <c r="X15" s="1">
        <f ca="1">IFERROR(COUNTIFS(Tasks[Status],"Done")/COUNTA(Tasks[Task]),0)</f>
        <v>0.375</v>
      </c>
      <c r="Y15" s="1"/>
      <c r="Z15" s="1"/>
    </row>
    <row r="16" spans="1:26" x14ac:dyDescent="0.25">
      <c r="A16" s="1"/>
      <c r="B16" s="7"/>
      <c r="C16" s="3"/>
      <c r="D16" s="3"/>
      <c r="E16" s="3"/>
      <c r="F16" s="3"/>
      <c r="G16" s="3"/>
      <c r="H16" s="3"/>
      <c r="I16" s="3"/>
      <c r="J16" s="3"/>
      <c r="K16" s="3"/>
      <c r="L16" s="4"/>
      <c r="M16" s="1"/>
      <c r="N16" s="7"/>
      <c r="O16" s="3"/>
      <c r="P16" s="3"/>
      <c r="Q16" s="3"/>
      <c r="R16" s="3"/>
      <c r="S16" s="3"/>
      <c r="T16" s="4"/>
      <c r="U16" s="1"/>
      <c r="V16" s="1"/>
      <c r="W16" s="1"/>
      <c r="X16" s="1"/>
      <c r="Y16" s="1"/>
      <c r="Z16" s="1"/>
    </row>
    <row r="17" spans="1:26" x14ac:dyDescent="0.25">
      <c r="A17" s="1"/>
      <c r="B17" s="7"/>
      <c r="C17" s="3"/>
      <c r="D17" s="3"/>
      <c r="E17" s="3"/>
      <c r="F17" s="3"/>
      <c r="G17" s="3"/>
      <c r="H17" s="3"/>
      <c r="I17" s="3"/>
      <c r="J17" s="3"/>
      <c r="K17" s="3"/>
      <c r="L17" s="4"/>
      <c r="M17" s="1"/>
      <c r="N17" s="7"/>
      <c r="O17" s="3"/>
      <c r="P17" s="3"/>
      <c r="Q17" s="3"/>
      <c r="R17" s="3"/>
      <c r="S17" s="3"/>
      <c r="T17" s="4"/>
      <c r="U17" s="1"/>
      <c r="V17" s="1"/>
      <c r="W17" s="1"/>
      <c r="X17" s="1"/>
      <c r="Y17" s="1"/>
      <c r="Z17" s="1"/>
    </row>
    <row r="18" spans="1:26" x14ac:dyDescent="0.25">
      <c r="A18" s="1"/>
      <c r="B18" s="7"/>
      <c r="C18" s="3"/>
      <c r="D18" s="3"/>
      <c r="E18" s="3"/>
      <c r="F18" s="3"/>
      <c r="G18" s="3"/>
      <c r="H18" s="3"/>
      <c r="I18" s="3"/>
      <c r="J18" s="3"/>
      <c r="K18" s="3"/>
      <c r="L18" s="4"/>
      <c r="M18" s="1"/>
      <c r="N18" s="7"/>
      <c r="O18" s="3"/>
      <c r="P18" s="3"/>
      <c r="Q18" s="3"/>
      <c r="R18" s="3"/>
      <c r="S18" s="3"/>
      <c r="T18" s="4"/>
      <c r="U18" s="1"/>
      <c r="V18" s="1"/>
      <c r="W18" s="1"/>
      <c r="X18" s="1"/>
      <c r="Y18" s="1"/>
      <c r="Z18" s="1"/>
    </row>
    <row r="19" spans="1:26" x14ac:dyDescent="0.25">
      <c r="A19" s="1"/>
      <c r="B19" s="7"/>
      <c r="C19" s="3"/>
      <c r="D19" s="3"/>
      <c r="E19" s="3"/>
      <c r="F19" s="3"/>
      <c r="G19" s="3"/>
      <c r="H19" s="3"/>
      <c r="I19" s="3"/>
      <c r="J19" s="3"/>
      <c r="K19" s="3"/>
      <c r="L19" s="4"/>
      <c r="M19" s="1"/>
      <c r="N19" s="7"/>
      <c r="O19" s="3"/>
      <c r="P19" s="3"/>
      <c r="Q19" s="3"/>
      <c r="R19" s="3"/>
      <c r="S19" s="3"/>
      <c r="T19" s="4"/>
      <c r="U19" s="1"/>
      <c r="V19" s="1"/>
      <c r="W19" s="1"/>
      <c r="X19" s="1"/>
      <c r="Y19" s="1"/>
      <c r="Z19" s="1"/>
    </row>
    <row r="20" spans="1:26" x14ac:dyDescent="0.25">
      <c r="A20" s="1"/>
      <c r="B20" s="7"/>
      <c r="C20" s="3"/>
      <c r="D20" s="3"/>
      <c r="E20" s="3"/>
      <c r="F20" s="3"/>
      <c r="G20" s="3"/>
      <c r="H20" s="3"/>
      <c r="I20" s="3"/>
      <c r="J20" s="3"/>
      <c r="K20" s="3"/>
      <c r="L20" s="4"/>
      <c r="M20" s="1"/>
      <c r="N20" s="7"/>
      <c r="O20" s="3"/>
      <c r="P20" s="3"/>
      <c r="Q20" s="3"/>
      <c r="R20" s="3"/>
      <c r="S20" s="3"/>
      <c r="T20" s="4"/>
      <c r="U20" s="1"/>
      <c r="V20" s="1"/>
      <c r="W20" s="1"/>
      <c r="X20" s="1"/>
      <c r="Y20" s="1"/>
      <c r="Z20" s="1"/>
    </row>
    <row r="21" spans="1:26" x14ac:dyDescent="0.25">
      <c r="A21" s="1"/>
      <c r="B21" s="7"/>
      <c r="C21" s="3"/>
      <c r="D21" s="3"/>
      <c r="E21" s="3"/>
      <c r="F21" s="3"/>
      <c r="G21" s="3"/>
      <c r="H21" s="3"/>
      <c r="I21" s="3"/>
      <c r="J21" s="3"/>
      <c r="K21" s="3"/>
      <c r="L21" s="4"/>
      <c r="M21" s="1"/>
      <c r="N21" s="7"/>
      <c r="O21" s="3"/>
      <c r="P21" s="3"/>
      <c r="Q21" s="3"/>
      <c r="R21" s="3"/>
      <c r="S21" s="3"/>
      <c r="T21" s="4"/>
      <c r="U21" s="1"/>
      <c r="V21" s="1"/>
      <c r="W21" s="1"/>
      <c r="X21" s="1"/>
      <c r="Y21" s="1"/>
      <c r="Z21" s="1"/>
    </row>
    <row r="22" spans="1:26" x14ac:dyDescent="0.25">
      <c r="A22" s="1"/>
      <c r="B22" s="7"/>
      <c r="C22" s="3"/>
      <c r="D22" s="3"/>
      <c r="E22" s="3"/>
      <c r="F22" s="3"/>
      <c r="G22" s="3"/>
      <c r="H22" s="3"/>
      <c r="I22" s="3"/>
      <c r="J22" s="3"/>
      <c r="K22" s="3"/>
      <c r="L22" s="4"/>
      <c r="M22" s="1"/>
      <c r="N22" s="7"/>
      <c r="O22" s="3"/>
      <c r="P22" s="3"/>
      <c r="Q22" s="3"/>
      <c r="R22" s="3"/>
      <c r="S22" s="3"/>
      <c r="T22" s="4"/>
      <c r="U22" s="1"/>
      <c r="V22" s="1"/>
      <c r="W22" s="1"/>
      <c r="X22" s="1"/>
      <c r="Y22" s="1"/>
      <c r="Z22" s="1"/>
    </row>
    <row r="23" spans="1:26" x14ac:dyDescent="0.25">
      <c r="A23" s="1"/>
      <c r="B23" s="7"/>
      <c r="C23" s="3"/>
      <c r="D23" s="3"/>
      <c r="E23" s="3"/>
      <c r="F23" s="3"/>
      <c r="G23" s="3"/>
      <c r="H23" s="3"/>
      <c r="I23" s="3"/>
      <c r="J23" s="3"/>
      <c r="K23" s="3"/>
      <c r="L23" s="4"/>
      <c r="M23" s="1"/>
      <c r="N23" s="7"/>
      <c r="O23" s="3"/>
      <c r="P23" s="3"/>
      <c r="Q23" s="3"/>
      <c r="R23" s="3"/>
      <c r="S23" s="3"/>
      <c r="T23" s="4"/>
      <c r="U23" s="1"/>
      <c r="V23" s="1"/>
      <c r="W23" s="1"/>
      <c r="X23" s="1"/>
      <c r="Y23" s="1"/>
      <c r="Z23" s="1"/>
    </row>
    <row r="24" spans="1:26" x14ac:dyDescent="0.25">
      <c r="A24" s="1"/>
      <c r="B24" s="7"/>
      <c r="C24" s="3"/>
      <c r="D24" s="3"/>
      <c r="E24" s="3"/>
      <c r="F24" s="3"/>
      <c r="G24" s="3"/>
      <c r="H24" s="3"/>
      <c r="I24" s="3"/>
      <c r="J24" s="3"/>
      <c r="K24" s="3"/>
      <c r="L24" s="4"/>
      <c r="M24" s="1"/>
      <c r="N24" s="7"/>
      <c r="O24" s="3"/>
      <c r="P24" s="3"/>
      <c r="Q24" s="3"/>
      <c r="R24" s="3"/>
      <c r="S24" s="3"/>
      <c r="T24" s="4"/>
      <c r="U24" s="1"/>
      <c r="V24" s="1"/>
      <c r="W24" s="1"/>
      <c r="X24" s="1"/>
      <c r="Y24" s="1"/>
      <c r="Z24" s="1"/>
    </row>
    <row r="25" spans="1:26" x14ac:dyDescent="0.25">
      <c r="A25" s="1"/>
      <c r="B25" s="7"/>
      <c r="C25" s="3"/>
      <c r="D25" s="3"/>
      <c r="E25" s="3"/>
      <c r="F25" s="3"/>
      <c r="G25" s="3"/>
      <c r="H25" s="3"/>
      <c r="I25" s="3"/>
      <c r="J25" s="3"/>
      <c r="K25" s="3"/>
      <c r="L25" s="4"/>
      <c r="M25" s="1"/>
      <c r="N25" s="7"/>
      <c r="O25" s="3"/>
      <c r="P25" s="3"/>
      <c r="Q25" s="3"/>
      <c r="R25" s="3"/>
      <c r="S25" s="3"/>
      <c r="T25" s="4"/>
      <c r="U25" s="1"/>
      <c r="V25" s="1"/>
      <c r="W25" s="1"/>
      <c r="X25" s="1"/>
      <c r="Y25" s="1"/>
      <c r="Z25" s="1"/>
    </row>
    <row r="26" spans="1:26" x14ac:dyDescent="0.25">
      <c r="A26" s="1"/>
      <c r="B26" s="8"/>
      <c r="C26" s="5"/>
      <c r="D26" s="5"/>
      <c r="E26" s="5"/>
      <c r="F26" s="5"/>
      <c r="G26" s="5"/>
      <c r="H26" s="5"/>
      <c r="I26" s="5"/>
      <c r="J26" s="5"/>
      <c r="K26" s="5"/>
      <c r="L26" s="6"/>
      <c r="M26" s="1"/>
      <c r="N26" s="8"/>
      <c r="O26" s="5"/>
      <c r="P26" s="5"/>
      <c r="Q26" s="5"/>
      <c r="R26" s="5"/>
      <c r="S26" s="5"/>
      <c r="T26" s="6"/>
      <c r="U26" s="1"/>
      <c r="V26" s="1"/>
      <c r="W26" s="1"/>
      <c r="X26" s="1"/>
      <c r="Y26" s="1"/>
      <c r="Z26" s="1"/>
    </row>
    <row r="27" spans="1:26" ht="14.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1" customHeight="1" x14ac:dyDescent="0.25">
      <c r="A28" s="1"/>
      <c r="B28" s="51" t="s">
        <v>7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1"/>
      <c r="V28" s="1"/>
      <c r="W28" s="1"/>
      <c r="X28" s="1"/>
      <c r="Y28" s="1"/>
      <c r="Z28" s="1"/>
    </row>
    <row r="29" spans="1:26" x14ac:dyDescent="0.25">
      <c r="A29" s="1"/>
      <c r="B29" s="62" t="s">
        <v>8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  <c r="U29" s="1"/>
      <c r="V29" s="1"/>
      <c r="W29" s="1"/>
      <c r="X29" s="1"/>
      <c r="Y29" s="1"/>
      <c r="Z29" s="1"/>
    </row>
    <row r="30" spans="1:26" ht="20.100000000000001" customHeight="1" x14ac:dyDescent="0.25">
      <c r="A30" s="1"/>
      <c r="B30" s="43" t="s">
        <v>9</v>
      </c>
      <c r="C30" s="39"/>
      <c r="D30" s="39"/>
      <c r="E30" s="39"/>
      <c r="F30" s="39"/>
      <c r="G30" s="39"/>
      <c r="H30" s="39"/>
      <c r="I30" s="3"/>
      <c r="J30" s="64" t="s">
        <v>10</v>
      </c>
      <c r="K30" s="39"/>
      <c r="L30" s="39"/>
      <c r="M30" s="3"/>
      <c r="N30" s="64" t="s">
        <v>11</v>
      </c>
      <c r="O30" s="39"/>
      <c r="P30" s="39"/>
      <c r="Q30" s="3"/>
      <c r="R30" s="48" t="s">
        <v>12</v>
      </c>
      <c r="S30" s="39"/>
      <c r="T30" s="49"/>
      <c r="U30" s="1"/>
      <c r="V30" s="1"/>
      <c r="W30" s="1"/>
      <c r="X30" s="1"/>
      <c r="Y30" s="1"/>
      <c r="Z30" s="1"/>
    </row>
    <row r="31" spans="1:26" ht="21.95" customHeight="1" x14ac:dyDescent="0.25">
      <c r="A31" s="1"/>
      <c r="B31" s="63" t="str" cm="1">
        <f t="array" aca="1" ref="B31" ca="1">IFERROR(INDEX(_xlfn.SORTBY(_xlfn._xlws.FILTER(Tasks[Task],(Tasks[Status]="Late")+(Tasks[Status]="Blocked")+(Tasks[Status]="Due soon")),_xlfn._xlws.FILTER(Tasks[SortKey],(Tasks[Status]="Late")+(Tasks[Status]="Blocked")+(Tasks[Status]="Due soon"))),1),"Nothing late, blocked or due soon. Good week.")</f>
        <v>Prepare board update deck</v>
      </c>
      <c r="C31" s="59"/>
      <c r="D31" s="59"/>
      <c r="E31" s="59"/>
      <c r="F31" s="59"/>
      <c r="G31" s="59"/>
      <c r="H31" s="59"/>
      <c r="I31" s="9"/>
      <c r="J31" s="58" t="str" cm="1">
        <f t="array" aca="1" ref="J31" ca="1">IFERROR(INDEX(_xlfn.SORTBY(_xlfn._xlws.FILTER(Tasks[Owner],(Tasks[Status]="Late")+(Tasks[Status]="Blocked")+(Tasks[Status]="Due soon")),_xlfn._xlws.FILTER(Tasks[SortKey],(Tasks[Status]="Late")+(Tasks[Status]="Blocked")+(Tasks[Status]="Due soon"))),1),"")</f>
        <v>Sara</v>
      </c>
      <c r="K31" s="59"/>
      <c r="L31" s="59"/>
      <c r="M31" s="9"/>
      <c r="N31" s="61" cm="1">
        <f t="array" aca="1" ref="N31" ca="1">IFERROR(INDEX(_xlfn.SORTBY(_xlfn._xlws.FILTER(Tasks[Due],(Tasks[Status]="Late")+(Tasks[Status]="Blocked")+(Tasks[Status]="Due soon")),_xlfn._xlws.FILTER(Tasks[SortKey],(Tasks[Status]="Late")+(Tasks[Status]="Blocked")+(Tasks[Status]="Due soon"))),1),"")</f>
        <v>46316</v>
      </c>
      <c r="O31" s="59"/>
      <c r="P31" s="59"/>
      <c r="Q31" s="9"/>
      <c r="R31" s="58" t="str" cm="1">
        <f t="array" aca="1" ref="R31" ca="1">IFERROR(INDEX(_xlfn.SORTBY(_xlfn._xlws.FILTER(Tasks[Status],(Tasks[Status]="Late")+(Tasks[Status]="Blocked")+(Tasks[Status]="Due soon")),_xlfn._xlws.FILTER(Tasks[SortKey],(Tasks[Status]="Late")+(Tasks[Status]="Blocked")+(Tasks[Status]="Due soon"))),1),"")</f>
        <v>Late</v>
      </c>
      <c r="S31" s="59"/>
      <c r="T31" s="60"/>
      <c r="U31" s="1"/>
      <c r="V31" s="1"/>
      <c r="W31" s="1"/>
      <c r="X31" s="1"/>
      <c r="Y31" s="1"/>
      <c r="Z31" s="1"/>
    </row>
    <row r="32" spans="1:26" ht="21.95" customHeight="1" x14ac:dyDescent="0.25">
      <c r="A32" s="1"/>
      <c r="B32" s="63" t="str" cm="1">
        <f t="array" aca="1" ref="B32" ca="1">IFERROR(INDEX(_xlfn.SORTBY(_xlfn._xlws.FILTER(Tasks[Task],(Tasks[Status]="Late")+(Tasks[Status]="Blocked")+(Tasks[Status]="Due soon")),_xlfn._xlws.FILTER(Tasks[SortKey],(Tasks[Status]="Late")+(Tasks[Status]="Blocked")+(Tasks[Status]="Due soon"))),2),"")</f>
        <v>Competitor review: top 5 players</v>
      </c>
      <c r="C32" s="59"/>
      <c r="D32" s="59"/>
      <c r="E32" s="59"/>
      <c r="F32" s="59"/>
      <c r="G32" s="59"/>
      <c r="H32" s="59"/>
      <c r="I32" s="9"/>
      <c r="J32" s="58" t="str" cm="1">
        <f t="array" aca="1" ref="J32" ca="1">IFERROR(INDEX(_xlfn.SORTBY(_xlfn._xlws.FILTER(Tasks[Owner],(Tasks[Status]="Late")+(Tasks[Status]="Blocked")+(Tasks[Status]="Due soon")),_xlfn._xlws.FILTER(Tasks[SortKey],(Tasks[Status]="Late")+(Tasks[Status]="Blocked")+(Tasks[Status]="Due soon"))),2),"")</f>
        <v>Lina</v>
      </c>
      <c r="K32" s="59"/>
      <c r="L32" s="59"/>
      <c r="M32" s="9"/>
      <c r="N32" s="61" cm="1">
        <f t="array" aca="1" ref="N32" ca="1">IFERROR(INDEX(_xlfn.SORTBY(_xlfn._xlws.FILTER(Tasks[Due],(Tasks[Status]="Late")+(Tasks[Status]="Blocked")+(Tasks[Status]="Due soon")),_xlfn._xlws.FILTER(Tasks[SortKey],(Tasks[Status]="Late")+(Tasks[Status]="Blocked")+(Tasks[Status]="Due soon"))),2),"")</f>
        <v>46317</v>
      </c>
      <c r="O32" s="59"/>
      <c r="P32" s="59"/>
      <c r="Q32" s="9"/>
      <c r="R32" s="58" t="str" cm="1">
        <f t="array" aca="1" ref="R32" ca="1">IFERROR(INDEX(_xlfn.SORTBY(_xlfn._xlws.FILTER(Tasks[Status],(Tasks[Status]="Late")+(Tasks[Status]="Blocked")+(Tasks[Status]="Due soon")),_xlfn._xlws.FILTER(Tasks[SortKey],(Tasks[Status]="Late")+(Tasks[Status]="Blocked")+(Tasks[Status]="Due soon"))),2),"")</f>
        <v>Late</v>
      </c>
      <c r="S32" s="59"/>
      <c r="T32" s="60"/>
      <c r="U32" s="1"/>
      <c r="V32" s="1"/>
      <c r="W32" s="1"/>
      <c r="X32" s="1"/>
      <c r="Y32" s="1"/>
      <c r="Z32" s="1"/>
    </row>
    <row r="33" spans="1:26" ht="21.95" customHeight="1" x14ac:dyDescent="0.25">
      <c r="A33" s="1"/>
      <c r="B33" s="63" t="str" cm="1">
        <f t="array" aca="1" ref="B33" ca="1">IFERROR(INDEX(_xlfn.SORTBY(_xlfn._xlws.FILTER(Tasks[Task],(Tasks[Status]="Late")+(Tasks[Status]="Blocked")+(Tasks[Status]="Due soon")),_xlfn._xlws.FILTER(Tasks[SortKey],(Tasks[Status]="Late")+(Tasks[Status]="Blocked")+(Tasks[Status]="Due soon"))),3),"")</f>
        <v>Fix onboarding email sequence</v>
      </c>
      <c r="C33" s="59"/>
      <c r="D33" s="59"/>
      <c r="E33" s="59"/>
      <c r="F33" s="59"/>
      <c r="G33" s="59"/>
      <c r="H33" s="59"/>
      <c r="I33" s="9"/>
      <c r="J33" s="58" t="str" cm="1">
        <f t="array" aca="1" ref="J33" ca="1">IFERROR(INDEX(_xlfn.SORTBY(_xlfn._xlws.FILTER(Tasks[Owner],(Tasks[Status]="Late")+(Tasks[Status]="Blocked")+(Tasks[Status]="Due soon")),_xlfn._xlws.FILTER(Tasks[SortKey],(Tasks[Status]="Late")+(Tasks[Status]="Blocked")+(Tasks[Status]="Due soon"))),3),"")</f>
        <v>Omar</v>
      </c>
      <c r="K33" s="59"/>
      <c r="L33" s="59"/>
      <c r="M33" s="9"/>
      <c r="N33" s="61" cm="1">
        <f t="array" aca="1" ref="N33" ca="1">IFERROR(INDEX(_xlfn.SORTBY(_xlfn._xlws.FILTER(Tasks[Due],(Tasks[Status]="Late")+(Tasks[Status]="Blocked")+(Tasks[Status]="Due soon")),_xlfn._xlws.FILTER(Tasks[SortKey],(Tasks[Status]="Late")+(Tasks[Status]="Blocked")+(Tasks[Status]="Due soon"))),3),"")</f>
        <v>46321</v>
      </c>
      <c r="O33" s="59"/>
      <c r="P33" s="59"/>
      <c r="Q33" s="9"/>
      <c r="R33" s="58" t="str" cm="1">
        <f t="array" aca="1" ref="R33" ca="1">IFERROR(INDEX(_xlfn.SORTBY(_xlfn._xlws.FILTER(Tasks[Status],(Tasks[Status]="Late")+(Tasks[Status]="Blocked")+(Tasks[Status]="Due soon")),_xlfn._xlws.FILTER(Tasks[SortKey],(Tasks[Status]="Late")+(Tasks[Status]="Blocked")+(Tasks[Status]="Due soon"))),3),"")</f>
        <v>Blocked</v>
      </c>
      <c r="S33" s="59"/>
      <c r="T33" s="60"/>
      <c r="U33" s="1"/>
      <c r="V33" s="1"/>
      <c r="W33" s="1"/>
      <c r="X33" s="1"/>
      <c r="Y33" s="1"/>
      <c r="Z33" s="1"/>
    </row>
    <row r="34" spans="1:26" ht="21.95" customHeight="1" x14ac:dyDescent="0.25">
      <c r="A34" s="1"/>
      <c r="B34" s="63" t="str" cm="1">
        <f t="array" aca="1" ref="B34" ca="1">IFERROR(INDEX(_xlfn.SORTBY(_xlfn._xlws.FILTER(Tasks[Task],(Tasks[Status]="Late")+(Tasks[Status]="Blocked")+(Tasks[Status]="Due soon")),_xlfn._xlws.FILTER(Tasks[SortKey],(Tasks[Status]="Late")+(Tasks[Status]="Blocked")+(Tasks[Status]="Due soon"))),4),"")</f>
        <v>Intern hiring: first interviews</v>
      </c>
      <c r="C34" s="59"/>
      <c r="D34" s="59"/>
      <c r="E34" s="59"/>
      <c r="F34" s="59"/>
      <c r="G34" s="59"/>
      <c r="H34" s="59"/>
      <c r="I34" s="9"/>
      <c r="J34" s="58" t="str" cm="1">
        <f t="array" aca="1" ref="J34" ca="1">IFERROR(INDEX(_xlfn.SORTBY(_xlfn._xlws.FILTER(Tasks[Owner],(Tasks[Status]="Late")+(Tasks[Status]="Blocked")+(Tasks[Status]="Due soon")),_xlfn._xlws.FILTER(Tasks[SortKey],(Tasks[Status]="Late")+(Tasks[Status]="Blocked")+(Tasks[Status]="Due soon"))),4),"")</f>
        <v>Sara</v>
      </c>
      <c r="K34" s="59"/>
      <c r="L34" s="59"/>
      <c r="M34" s="9"/>
      <c r="N34" s="61" cm="1">
        <f t="array" aca="1" ref="N34" ca="1">IFERROR(INDEX(_xlfn.SORTBY(_xlfn._xlws.FILTER(Tasks[Due],(Tasks[Status]="Late")+(Tasks[Status]="Blocked")+(Tasks[Status]="Due soon")),_xlfn._xlws.FILTER(Tasks[SortKey],(Tasks[Status]="Late")+(Tasks[Status]="Blocked")+(Tasks[Status]="Due soon"))),4),"")</f>
        <v>46321</v>
      </c>
      <c r="O34" s="59"/>
      <c r="P34" s="59"/>
      <c r="Q34" s="9"/>
      <c r="R34" s="58" t="str" cm="1">
        <f t="array" aca="1" ref="R34" ca="1">IFERROR(INDEX(_xlfn.SORTBY(_xlfn._xlws.FILTER(Tasks[Status],(Tasks[Status]="Late")+(Tasks[Status]="Blocked")+(Tasks[Status]="Due soon")),_xlfn._xlws.FILTER(Tasks[SortKey],(Tasks[Status]="Late")+(Tasks[Status]="Blocked")+(Tasks[Status]="Due soon"))),4),"")</f>
        <v>Due soon</v>
      </c>
      <c r="S34" s="59"/>
      <c r="T34" s="60"/>
      <c r="U34" s="1"/>
      <c r="V34" s="1"/>
      <c r="W34" s="1"/>
      <c r="X34" s="1"/>
      <c r="Y34" s="1"/>
      <c r="Z34" s="1"/>
    </row>
    <row r="35" spans="1:26" ht="21.95" customHeight="1" x14ac:dyDescent="0.25">
      <c r="A35" s="1"/>
      <c r="B35" s="63" t="str" cm="1">
        <f t="array" aca="1" ref="B35" ca="1">IFERROR(INDEX(_xlfn.SORTBY(_xlfn._xlws.FILTER(Tasks[Task],(Tasks[Status]="Late")+(Tasks[Status]="Blocked")+(Tasks[Status]="Due soon")),_xlfn._xlws.FILTER(Tasks[SortKey],(Tasks[Status]="Late")+(Tasks[Status]="Blocked")+(Tasks[Status]="Due soon"))),5),"")</f>
        <v>Customer survey: send and collect</v>
      </c>
      <c r="C35" s="59"/>
      <c r="D35" s="59"/>
      <c r="E35" s="59"/>
      <c r="F35" s="59"/>
      <c r="G35" s="59"/>
      <c r="H35" s="59"/>
      <c r="I35" s="9"/>
      <c r="J35" s="58" t="str" cm="1">
        <f t="array" aca="1" ref="J35" ca="1">IFERROR(INDEX(_xlfn.SORTBY(_xlfn._xlws.FILTER(Tasks[Owner],(Tasks[Status]="Late")+(Tasks[Status]="Blocked")+(Tasks[Status]="Due soon")),_xlfn._xlws.FILTER(Tasks[SortKey],(Tasks[Status]="Late")+(Tasks[Status]="Blocked")+(Tasks[Status]="Due soon"))),5),"")</f>
        <v>Lina</v>
      </c>
      <c r="K35" s="59"/>
      <c r="L35" s="59"/>
      <c r="M35" s="9"/>
      <c r="N35" s="61" cm="1">
        <f t="array" aca="1" ref="N35" ca="1">IFERROR(INDEX(_xlfn.SORTBY(_xlfn._xlws.FILTER(Tasks[Due],(Tasks[Status]="Late")+(Tasks[Status]="Blocked")+(Tasks[Status]="Due soon")),_xlfn._xlws.FILTER(Tasks[SortKey],(Tasks[Status]="Late")+(Tasks[Status]="Blocked")+(Tasks[Status]="Due soon"))),5),"")</f>
        <v>46322</v>
      </c>
      <c r="O35" s="59"/>
      <c r="P35" s="59"/>
      <c r="Q35" s="9"/>
      <c r="R35" s="58" t="str" cm="1">
        <f t="array" aca="1" ref="R35" ca="1">IFERROR(INDEX(_xlfn.SORTBY(_xlfn._xlws.FILTER(Tasks[Status],(Tasks[Status]="Late")+(Tasks[Status]="Blocked")+(Tasks[Status]="Due soon")),_xlfn._xlws.FILTER(Tasks[SortKey],(Tasks[Status]="Late")+(Tasks[Status]="Blocked")+(Tasks[Status]="Due soon"))),5),"")</f>
        <v>Due soon</v>
      </c>
      <c r="S35" s="59"/>
      <c r="T35" s="60"/>
      <c r="U35" s="1"/>
      <c r="V35" s="1"/>
      <c r="W35" s="1"/>
      <c r="X35" s="1"/>
      <c r="Y35" s="1"/>
      <c r="Z35" s="1"/>
    </row>
    <row r="36" spans="1:26" x14ac:dyDescent="0.25">
      <c r="A36" s="1"/>
      <c r="B36" s="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6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65" t="s">
        <v>13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48">
    <mergeCell ref="B38:T38"/>
    <mergeCell ref="F7:H7"/>
    <mergeCell ref="R7:T7"/>
    <mergeCell ref="B34:H34"/>
    <mergeCell ref="J30:L30"/>
    <mergeCell ref="N35:P35"/>
    <mergeCell ref="B7:D7"/>
    <mergeCell ref="J33:L33"/>
    <mergeCell ref="R33:T33"/>
    <mergeCell ref="J35:L35"/>
    <mergeCell ref="B33:H33"/>
    <mergeCell ref="R35:T35"/>
    <mergeCell ref="B35:H35"/>
    <mergeCell ref="N31:P31"/>
    <mergeCell ref="N11:T11"/>
    <mergeCell ref="N34:P34"/>
    <mergeCell ref="B5:D5"/>
    <mergeCell ref="R5:T5"/>
    <mergeCell ref="B29:T29"/>
    <mergeCell ref="J7:L7"/>
    <mergeCell ref="B32:H32"/>
    <mergeCell ref="J32:L32"/>
    <mergeCell ref="R32:T32"/>
    <mergeCell ref="B11:L11"/>
    <mergeCell ref="J31:L31"/>
    <mergeCell ref="B31:H31"/>
    <mergeCell ref="N30:P30"/>
    <mergeCell ref="R34:T34"/>
    <mergeCell ref="N33:P33"/>
    <mergeCell ref="J34:L34"/>
    <mergeCell ref="R31:T31"/>
    <mergeCell ref="N32:P32"/>
    <mergeCell ref="B1:T1"/>
    <mergeCell ref="B9:T9"/>
    <mergeCell ref="N5:P5"/>
    <mergeCell ref="B30:H30"/>
    <mergeCell ref="B6:D6"/>
    <mergeCell ref="N6:P6"/>
    <mergeCell ref="R30:T30"/>
    <mergeCell ref="J6:L6"/>
    <mergeCell ref="F5:H5"/>
    <mergeCell ref="B28:T28"/>
    <mergeCell ref="B2:T2"/>
    <mergeCell ref="J5:L5"/>
    <mergeCell ref="N7:P7"/>
    <mergeCell ref="F6:H6"/>
    <mergeCell ref="R6:T6"/>
    <mergeCell ref="B3:T3"/>
  </mergeCells>
  <conditionalFormatting sqref="R31:R35">
    <cfRule type="expression" dxfId="25" priority="1">
      <formula>$R31="Done"</formula>
    </cfRule>
    <cfRule type="expression" dxfId="24" priority="2">
      <formula>$R31="Late"</formula>
    </cfRule>
    <cfRule type="expression" dxfId="23" priority="3">
      <formula>$R31="Blocked"</formula>
    </cfRule>
    <cfRule type="expression" dxfId="22" priority="4">
      <formula>$R31="Due soon"</formula>
    </cfRule>
    <cfRule type="expression" dxfId="21" priority="5">
      <formula>$R31="On track"</formula>
    </cfRule>
    <cfRule type="expression" dxfId="20" priority="6">
      <formula>$R31="Not started"</formula>
    </cfRule>
  </conditionalFormatting>
  <hyperlinks>
    <hyperlink ref="B1" r:id="rId1" display="https://darwishqannan.com/" xr:uid="{1462303B-4925-4257-86EB-34EF3A2427AF}"/>
  </hyperlinks>
  <pageMargins left="0.75" right="0.75" top="1" bottom="1" header="0.5" footer="0.5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4161F"/>
    <pageSetUpPr fitToPage="1"/>
  </sheetPr>
  <dimension ref="A1:V1004"/>
  <sheetViews>
    <sheetView showGridLines="0" zoomScale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40" customWidth="1"/>
    <col min="3" max="3" width="12" customWidth="1"/>
    <col min="4" max="4" width="11" customWidth="1"/>
    <col min="5" max="5" width="9" customWidth="1"/>
    <col min="6" max="8" width="15" customWidth="1"/>
    <col min="9" max="9" width="11" customWidth="1"/>
    <col min="10" max="10" width="38" customWidth="1"/>
    <col min="11" max="11" width="13" customWidth="1"/>
    <col min="12" max="12" width="24" customWidth="1"/>
    <col min="13" max="13" width="9" customWidth="1"/>
    <col min="14" max="18" width="13" hidden="1" customWidth="1"/>
  </cols>
  <sheetData>
    <row r="1" spans="1:22" ht="26.25" x14ac:dyDescent="0.4">
      <c r="A1" s="1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4" customHeight="1" x14ac:dyDescent="0.25">
      <c r="A4" s="12" t="s">
        <v>16</v>
      </c>
      <c r="B4" s="12" t="s">
        <v>9</v>
      </c>
      <c r="C4" s="12" t="s">
        <v>10</v>
      </c>
      <c r="D4" s="12" t="s">
        <v>17</v>
      </c>
      <c r="E4" s="12" t="s">
        <v>18</v>
      </c>
      <c r="F4" s="12" t="s">
        <v>19</v>
      </c>
      <c r="G4" s="12" t="s">
        <v>11</v>
      </c>
      <c r="H4" s="12" t="s">
        <v>20</v>
      </c>
      <c r="I4" s="12" t="s">
        <v>21</v>
      </c>
      <c r="J4" s="12" t="s">
        <v>22</v>
      </c>
      <c r="K4" s="13" t="s">
        <v>12</v>
      </c>
      <c r="L4" s="13" t="s">
        <v>23</v>
      </c>
      <c r="M4" s="13" t="s">
        <v>24</v>
      </c>
      <c r="N4" s="1" t="s">
        <v>25</v>
      </c>
      <c r="O4" s="1" t="s">
        <v>26</v>
      </c>
      <c r="P4" s="1" t="s">
        <v>27</v>
      </c>
      <c r="Q4" s="1" t="s">
        <v>28</v>
      </c>
      <c r="R4" s="1" t="s">
        <v>29</v>
      </c>
      <c r="S4" s="1"/>
      <c r="T4" s="1"/>
      <c r="U4" s="1"/>
      <c r="V4" s="1"/>
    </row>
    <row r="5" spans="1:22" x14ac:dyDescent="0.25">
      <c r="A5" s="14" t="str" cm="1">
        <f t="array" ref="A5">IF(Tasks[[#This Row],[Task]]="","","T-"&amp;TEXT(ROW()-ROW(Tasks[#Headers]),"000"))</f>
        <v>T-001</v>
      </c>
      <c r="B5" s="15" t="s">
        <v>30</v>
      </c>
      <c r="C5" s="15" t="s">
        <v>31</v>
      </c>
      <c r="D5" s="15" t="s">
        <v>32</v>
      </c>
      <c r="E5" s="15" t="s">
        <v>33</v>
      </c>
      <c r="F5" s="16">
        <f ca="1">WORKDAY.INTL(ReportDate,-12,WeekendCode,Holidays)</f>
        <v>46302</v>
      </c>
      <c r="G5" s="16">
        <f ca="1">WORKDAY.INTL(ReportDate,-5,WeekendCode,Holidays)</f>
        <v>46313</v>
      </c>
      <c r="H5" s="16">
        <f ca="1">WORKDAY.INTL(ReportDate,-6,WeekendCode,Holidays)</f>
        <v>46310</v>
      </c>
      <c r="I5" s="15"/>
      <c r="J5" s="15"/>
      <c r="K5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5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15 Oct</v>
      </c>
      <c r="M5" s="17">
        <f>IF(Tasks[[#This Row],[Task]]="","",IFERROR(VLOOKUP(IF(Tasks[[#This Row],[Effort]]="","M",Tasks[[#This Row],[Effort]]),EffortTable,2,FALSE),0))</f>
        <v>3</v>
      </c>
      <c r="N5">
        <f ca="1">IF(Tasks[[#This Row],[Task]]="","",IFERROR(MATCH(Tasks[[#This Row],[Status]],{"Late","Blocked","Due soon"},0),9)*100000+N(Tasks[[#This Row],[Due]]))</f>
        <v>946313</v>
      </c>
      <c r="O5" t="str" cm="1">
        <f t="array" aca="1" ref="O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" t="str" cm="1">
        <f t="array" aca="1" ref="P5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" t="str" cm="1">
        <f t="array" aca="1" ref="Q5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" t="str" cm="1">
        <f t="array" aca="1" ref="R5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" spans="1:22" x14ac:dyDescent="0.25">
      <c r="A6" s="14" t="str" cm="1">
        <f t="array" ref="A6">IF(Tasks[[#This Row],[Task]]="","","T-"&amp;TEXT(ROW()-ROW(Tasks[#Headers]),"000"))</f>
        <v>T-002</v>
      </c>
      <c r="B6" s="15" t="s">
        <v>34</v>
      </c>
      <c r="C6" s="15" t="s">
        <v>35</v>
      </c>
      <c r="D6" s="15" t="s">
        <v>36</v>
      </c>
      <c r="E6" s="15" t="s">
        <v>37</v>
      </c>
      <c r="F6" s="16">
        <f ca="1">WORKDAY.INTL(ReportDate,-9,WeekendCode,Holidays)</f>
        <v>46307</v>
      </c>
      <c r="G6" s="16">
        <f ca="1">WORKDAY.INTL(ReportDate,-4,WeekendCode,Holidays)</f>
        <v>46314</v>
      </c>
      <c r="H6" s="16">
        <f ca="1">WORKDAY.INTL(ReportDate,-4,WeekendCode,Holidays)</f>
        <v>46314</v>
      </c>
      <c r="I6" s="15"/>
      <c r="J6" s="15"/>
      <c r="K6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6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19 Oct</v>
      </c>
      <c r="M6" s="17">
        <f>IF(Tasks[[#This Row],[Task]]="","",IFERROR(VLOOKUP(IF(Tasks[[#This Row],[Effort]]="","M",Tasks[[#This Row],[Effort]]),EffortTable,2,FALSE),0))</f>
        <v>1</v>
      </c>
      <c r="N6">
        <f ca="1">IF(Tasks[[#This Row],[Task]]="","",IFERROR(MATCH(Tasks[[#This Row],[Status]],{"Late","Blocked","Due soon"},0),9)*100000+N(Tasks[[#This Row],[Due]]))</f>
        <v>946314</v>
      </c>
      <c r="O6" t="str" cm="1">
        <f t="array" aca="1" ref="O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Update pricing page copy (Omar)</v>
      </c>
      <c r="P6" t="str" cm="1">
        <f t="array" aca="1" ref="P6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" t="str" cm="1">
        <f t="array" aca="1" ref="Q6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" t="str" cm="1">
        <f t="array" aca="1" ref="R6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" spans="1:22" x14ac:dyDescent="0.25">
      <c r="A7" s="14" t="str" cm="1">
        <f t="array" ref="A7">IF(Tasks[[#This Row],[Task]]="","","T-"&amp;TEXT(ROW()-ROW(Tasks[#Headers]),"000"))</f>
        <v>T-003</v>
      </c>
      <c r="B7" s="15" t="s">
        <v>38</v>
      </c>
      <c r="C7" s="15" t="s">
        <v>39</v>
      </c>
      <c r="D7" s="15" t="s">
        <v>32</v>
      </c>
      <c r="E7" s="15" t="s">
        <v>40</v>
      </c>
      <c r="F7" s="16">
        <f ca="1">WORKDAY.INTL(ReportDate,-10,WeekendCode,Holidays)</f>
        <v>46306</v>
      </c>
      <c r="G7" s="16">
        <f ca="1">WORKDAY.INTL(ReportDate,-2,WeekendCode,Holidays)</f>
        <v>46316</v>
      </c>
      <c r="H7" s="16"/>
      <c r="I7" s="15"/>
      <c r="J7" s="15" t="s">
        <v>41</v>
      </c>
      <c r="K7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Late</v>
      </c>
      <c r="L7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1 working day late</v>
      </c>
      <c r="M7" s="17">
        <f>IF(Tasks[[#This Row],[Task]]="","",IFERROR(VLOOKUP(IF(Tasks[[#This Row],[Effort]]="","M",Tasks[[#This Row],[Effort]]),EffortTable,2,FALSE),0))</f>
        <v>5</v>
      </c>
      <c r="N7">
        <f ca="1">IF(Tasks[[#This Row],[Task]]="","",IFERROR(MATCH(Tasks[[#This Row],[Status]],{"Late","Blocked","Due soon"},0),9)*100000+N(Tasks[[#This Row],[Due]]))</f>
        <v>146316</v>
      </c>
      <c r="O7" t="str" cm="1">
        <f t="array" aca="1" ref="O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" t="str" cm="1">
        <f t="array" aca="1" ref="P7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Prepare board update deck (Sara), 1 working day late. Waiting for final numbers from finance</v>
      </c>
      <c r="Q7" t="str" cm="1">
        <f t="array" aca="1" ref="Q7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" t="str" cm="1">
        <f t="array" aca="1" ref="R7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" spans="1:22" x14ac:dyDescent="0.25">
      <c r="A8" s="14" t="str" cm="1">
        <f t="array" ref="A8">IF(Tasks[[#This Row],[Task]]="","","T-"&amp;TEXT(ROW()-ROW(Tasks[#Headers]),"000"))</f>
        <v>T-004</v>
      </c>
      <c r="B8" s="15" t="s">
        <v>42</v>
      </c>
      <c r="C8" s="15" t="s">
        <v>43</v>
      </c>
      <c r="D8" s="15" t="s">
        <v>36</v>
      </c>
      <c r="E8" s="15" t="s">
        <v>33</v>
      </c>
      <c r="F8" s="16">
        <f ca="1">WORKDAY.INTL(ReportDate,-6,WeekendCode,Holidays)</f>
        <v>46310</v>
      </c>
      <c r="G8" s="16">
        <f ca="1">WORKDAY.INTL(ReportDate,3,WeekendCode,Holidays)</f>
        <v>46322</v>
      </c>
      <c r="H8" s="16"/>
      <c r="I8" s="15"/>
      <c r="J8" s="15"/>
      <c r="K8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Due soon</v>
      </c>
      <c r="L8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3 working days left</v>
      </c>
      <c r="M8" s="17">
        <f>IF(Tasks[[#This Row],[Task]]="","",IFERROR(VLOOKUP(IF(Tasks[[#This Row],[Effort]]="","M",Tasks[[#This Row],[Effort]]),EffortTable,2,FALSE),0))</f>
        <v>3</v>
      </c>
      <c r="N8">
        <f ca="1">IF(Tasks[[#This Row],[Task]]="","",IFERROR(MATCH(Tasks[[#This Row],[Status]],{"Late","Blocked","Due soon"},0),9)*100000+N(Tasks[[#This Row],[Due]]))</f>
        <v>346322</v>
      </c>
      <c r="O8" t="str" cm="1">
        <f t="array" aca="1" ref="O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" t="str" cm="1">
        <f t="array" aca="1" ref="P8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" t="str" cm="1">
        <f t="array" aca="1" ref="Q8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" t="str" cm="1">
        <f t="array" aca="1" ref="R8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Customer survey: send and collect (Lina), due Tue 27 Oct</v>
      </c>
    </row>
    <row r="9" spans="1:22" x14ac:dyDescent="0.25">
      <c r="A9" s="14" t="str" cm="1">
        <f t="array" ref="A9">IF(Tasks[[#This Row],[Task]]="","","T-"&amp;TEXT(ROW()-ROW(Tasks[#Headers]),"000"))</f>
        <v>T-005</v>
      </c>
      <c r="B9" s="15" t="s">
        <v>44</v>
      </c>
      <c r="C9" s="15" t="s">
        <v>35</v>
      </c>
      <c r="D9" s="15" t="s">
        <v>32</v>
      </c>
      <c r="E9" s="15" t="s">
        <v>33</v>
      </c>
      <c r="F9" s="16">
        <f ca="1">WORKDAY.INTL(ReportDate,-7,WeekendCode,Holidays)</f>
        <v>46309</v>
      </c>
      <c r="G9" s="16">
        <f ca="1">WORKDAY.INTL(ReportDate,2,WeekendCode,Holidays)</f>
        <v>46321</v>
      </c>
      <c r="H9" s="16"/>
      <c r="I9" s="15" t="s">
        <v>45</v>
      </c>
      <c r="J9" s="15" t="s">
        <v>46</v>
      </c>
      <c r="K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Blocked</v>
      </c>
      <c r="L9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2 working days left</v>
      </c>
      <c r="M9" s="17">
        <f>IF(Tasks[[#This Row],[Task]]="","",IFERROR(VLOOKUP(IF(Tasks[[#This Row],[Effort]]="","M",Tasks[[#This Row],[Effort]]),EffortTable,2,FALSE),0))</f>
        <v>3</v>
      </c>
      <c r="N9">
        <f ca="1">IF(Tasks[[#This Row],[Task]]="","",IFERROR(MATCH(Tasks[[#This Row],[Status]],{"Late","Blocked","Due soon"},0),9)*100000+N(Tasks[[#This Row],[Due]]))</f>
        <v>246321</v>
      </c>
      <c r="O9" t="str" cm="1">
        <f t="array" aca="1" ref="O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" t="str" cm="1">
        <f t="array" ref="P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" t="str" cm="1">
        <f t="array" ref="Q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Fix onboarding email sequence (Omar): Needs CRM admin access from IT</v>
      </c>
      <c r="R9" t="str" cm="1">
        <f t="array" ref="R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" spans="1:22" x14ac:dyDescent="0.25">
      <c r="A10" s="14" t="str" cm="1">
        <f t="array" ref="A10">IF(Tasks[[#This Row],[Task]]="","","T-"&amp;TEXT(ROW()-ROW(Tasks[#Headers]),"000"))</f>
        <v>T-006</v>
      </c>
      <c r="B10" s="15" t="s">
        <v>47</v>
      </c>
      <c r="C10" s="15" t="s">
        <v>48</v>
      </c>
      <c r="D10" s="15" t="s">
        <v>49</v>
      </c>
      <c r="E10" s="15" t="s">
        <v>37</v>
      </c>
      <c r="F10" s="16">
        <f ca="1">WORKDAY.INTL(ReportDate,-5,WeekendCode,Holidays)</f>
        <v>46313</v>
      </c>
      <c r="G10" s="16">
        <f ca="1">WORKDAY.INTL(ReportDate,-1,WeekendCode,Holidays)</f>
        <v>46317</v>
      </c>
      <c r="H10" s="16">
        <f ca="1">WORKDAY.INTL(ReportDate,-1,WeekendCode,Holidays)</f>
        <v>46317</v>
      </c>
      <c r="I10" s="15"/>
      <c r="J10" s="15"/>
      <c r="K10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10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22 Oct</v>
      </c>
      <c r="M10" s="17">
        <f>IF(Tasks[[#This Row],[Task]]="","",IFERROR(VLOOKUP(IF(Tasks[[#This Row],[Effort]]="","M",Tasks[[#This Row],[Effort]]),EffortTable,2,FALSE),0))</f>
        <v>1</v>
      </c>
      <c r="N10">
        <f ca="1">IF(Tasks[[#This Row],[Task]]="","",IFERROR(MATCH(Tasks[[#This Row],[Status]],{"Late","Blocked","Due soon"},0),9)*100000+N(Tasks[[#This Row],[Due]]))</f>
        <v>946317</v>
      </c>
      <c r="O10" t="str" cm="1">
        <f t="array" aca="1" ref="O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Shortlist freelance designers (Faisal)</v>
      </c>
      <c r="P10" t="str" cm="1">
        <f t="array" aca="1" ref="P10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" t="str" cm="1">
        <f t="array" aca="1" ref="Q10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" t="str" cm="1">
        <f t="array" aca="1" ref="R10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" spans="1:22" x14ac:dyDescent="0.25">
      <c r="A11" s="14" t="str" cm="1">
        <f t="array" ref="A11">IF(Tasks[[#This Row],[Task]]="","","T-"&amp;TEXT(ROW()-ROW(Tasks[#Headers]),"000"))</f>
        <v>T-007</v>
      </c>
      <c r="B11" s="15" t="s">
        <v>50</v>
      </c>
      <c r="C11" s="15" t="s">
        <v>43</v>
      </c>
      <c r="D11" s="15" t="s">
        <v>36</v>
      </c>
      <c r="E11" s="15" t="s">
        <v>33</v>
      </c>
      <c r="F11" s="16">
        <f ca="1">WORKDAY.INTL(ReportDate,-8,WeekendCode,Holidays)</f>
        <v>46308</v>
      </c>
      <c r="G11" s="16">
        <f ca="1">WORKDAY.INTL(ReportDate,-1,WeekendCode,Holidays)</f>
        <v>46317</v>
      </c>
      <c r="H11" s="16"/>
      <c r="I11" s="15"/>
      <c r="J11" s="15" t="s">
        <v>51</v>
      </c>
      <c r="K11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Late</v>
      </c>
      <c r="L11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Was due Thu 22 Oct</v>
      </c>
      <c r="M11" s="17">
        <f>IF(Tasks[[#This Row],[Task]]="","",IFERROR(VLOOKUP(IF(Tasks[[#This Row],[Effort]]="","M",Tasks[[#This Row],[Effort]]),EffortTable,2,FALSE),0))</f>
        <v>3</v>
      </c>
      <c r="N11">
        <f ca="1">IF(Tasks[[#This Row],[Task]]="","",IFERROR(MATCH(Tasks[[#This Row],[Status]],{"Late","Blocked","Due soon"},0),9)*100000+N(Tasks[[#This Row],[Due]]))</f>
        <v>146317</v>
      </c>
      <c r="O11" t="str" cm="1">
        <f t="array" aca="1" ref="O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" t="str" cm="1">
        <f t="array" aca="1" ref="P11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Competitor review: top 5 players (Lina), was due Thu 22 Oct. Two profiles left</v>
      </c>
      <c r="Q11" t="str" cm="1">
        <f t="array" aca="1" ref="Q11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" t="str" cm="1">
        <f t="array" aca="1" ref="R11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" spans="1:22" x14ac:dyDescent="0.25">
      <c r="A12" s="14" t="str" cm="1">
        <f t="array" ref="A12">IF(Tasks[[#This Row],[Task]]="","","T-"&amp;TEXT(ROW()-ROW(Tasks[#Headers]),"000"))</f>
        <v>T-008</v>
      </c>
      <c r="B12" s="15" t="s">
        <v>52</v>
      </c>
      <c r="C12" s="15" t="s">
        <v>48</v>
      </c>
      <c r="D12" s="15" t="s">
        <v>36</v>
      </c>
      <c r="E12" s="15" t="s">
        <v>40</v>
      </c>
      <c r="F12" s="16">
        <f ca="1">WORKDAY.INTL(ReportDate,-3,WeekendCode,Holidays)</f>
        <v>46315</v>
      </c>
      <c r="G12" s="16">
        <f ca="1">WORKDAY.INTL(ReportDate,8,WeekendCode,Holidays)</f>
        <v>46329</v>
      </c>
      <c r="H12" s="16"/>
      <c r="I12" s="15"/>
      <c r="J12" s="15"/>
      <c r="K12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On track</v>
      </c>
      <c r="L12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8 working days left</v>
      </c>
      <c r="M12" s="17">
        <f>IF(Tasks[[#This Row],[Task]]="","",IFERROR(VLOOKUP(IF(Tasks[[#This Row],[Effort]]="","M",Tasks[[#This Row],[Effort]]),EffortTable,2,FALSE),0))</f>
        <v>5</v>
      </c>
      <c r="N12">
        <f ca="1">IF(Tasks[[#This Row],[Task]]="","",IFERROR(MATCH(Tasks[[#This Row],[Status]],{"Late","Blocked","Due soon"},0),9)*100000+N(Tasks[[#This Row],[Due]]))</f>
        <v>946329</v>
      </c>
      <c r="O12" t="str" cm="1">
        <f t="array" aca="1" ref="O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" t="str" cm="1">
        <f t="array" aca="1" ref="P12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" t="str" cm="1">
        <f t="array" aca="1" ref="Q12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" t="str" cm="1">
        <f t="array" aca="1" ref="R12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" spans="1:22" x14ac:dyDescent="0.25">
      <c r="A13" s="14" t="str" cm="1">
        <f t="array" ref="A13">IF(Tasks[[#This Row],[Task]]="","","T-"&amp;TEXT(ROW()-ROW(Tasks[#Headers]),"000"))</f>
        <v>T-009</v>
      </c>
      <c r="B13" s="15" t="s">
        <v>53</v>
      </c>
      <c r="C13" s="15" t="s">
        <v>31</v>
      </c>
      <c r="D13" s="15" t="s">
        <v>36</v>
      </c>
      <c r="E13" s="15" t="s">
        <v>33</v>
      </c>
      <c r="F13" s="16">
        <f ca="1">WORKDAY.INTL(ReportDate,-4,WeekendCode,Holidays)</f>
        <v>46314</v>
      </c>
      <c r="G13" s="16">
        <f ca="1">WORKDAY.INTL(ReportDate,4,WeekendCode,Holidays)</f>
        <v>46323</v>
      </c>
      <c r="H13" s="16"/>
      <c r="I13" s="15"/>
      <c r="J13" s="15"/>
      <c r="K13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Due soon</v>
      </c>
      <c r="L13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4 working days left</v>
      </c>
      <c r="M13" s="17">
        <f>IF(Tasks[[#This Row],[Task]]="","",IFERROR(VLOOKUP(IF(Tasks[[#This Row],[Effort]]="","M",Tasks[[#This Row],[Effort]]),EffortTable,2,FALSE),0))</f>
        <v>3</v>
      </c>
      <c r="N13">
        <f ca="1">IF(Tasks[[#This Row],[Task]]="","",IFERROR(MATCH(Tasks[[#This Row],[Status]],{"Late","Blocked","Due soon"},0),9)*100000+N(Tasks[[#This Row],[Due]]))</f>
        <v>346323</v>
      </c>
      <c r="O13" t="str" cm="1">
        <f t="array" aca="1" ref="O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" t="str" cm="1">
        <f t="array" aca="1" ref="P13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" t="str" cm="1">
        <f t="array" aca="1" ref="Q13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" t="str" cm="1">
        <f t="array" aca="1" ref="R13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Partner webinar logistics (Reem), due Wed 28 Oct</v>
      </c>
    </row>
    <row r="14" spans="1:22" x14ac:dyDescent="0.25">
      <c r="A14" s="14" t="str" cm="1">
        <f t="array" ref="A14">IF(Tasks[[#This Row],[Task]]="","","T-"&amp;TEXT(ROW()-ROW(Tasks[#Headers]),"000"))</f>
        <v>T-010</v>
      </c>
      <c r="B14" s="15" t="s">
        <v>54</v>
      </c>
      <c r="C14" s="15" t="s">
        <v>39</v>
      </c>
      <c r="D14" s="15" t="s">
        <v>49</v>
      </c>
      <c r="E14" s="15" t="s">
        <v>37</v>
      </c>
      <c r="F14" s="16">
        <f ca="1">WORKDAY.INTL(ReportDate,-6,WeekendCode,Holidays)</f>
        <v>46310</v>
      </c>
      <c r="G14" s="16">
        <f ca="1">WORKDAY.INTL(ReportDate,-2,WeekendCode,Holidays)</f>
        <v>46316</v>
      </c>
      <c r="H14" s="16">
        <f ca="1">WORKDAY.INTL(ReportDate,-3,WeekendCode,Holidays)</f>
        <v>46315</v>
      </c>
      <c r="I14" s="15"/>
      <c r="J14" s="15"/>
      <c r="K14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14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20 Oct</v>
      </c>
      <c r="M14" s="17">
        <f>IF(Tasks[[#This Row],[Task]]="","",IFERROR(VLOOKUP(IF(Tasks[[#This Row],[Effort]]="","M",Tasks[[#This Row],[Effort]]),EffortTable,2,FALSE),0))</f>
        <v>1</v>
      </c>
      <c r="N14">
        <f ca="1">IF(Tasks[[#This Row],[Task]]="","",IFERROR(MATCH(Tasks[[#This Row],[Status]],{"Late","Blocked","Due soon"},0),9)*100000+N(Tasks[[#This Row],[Due]]))</f>
        <v>946316</v>
      </c>
      <c r="O14" t="str" cm="1">
        <f t="array" aca="1" ref="O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Sales one-pager refresh (Sara)</v>
      </c>
      <c r="P14" t="str" cm="1">
        <f t="array" aca="1" ref="P14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" t="str" cm="1">
        <f t="array" aca="1" ref="Q14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" t="str" cm="1">
        <f t="array" aca="1" ref="R14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" spans="1:22" x14ac:dyDescent="0.25">
      <c r="A15" s="14" t="str" cm="1">
        <f t="array" ref="A15">IF(Tasks[[#This Row],[Task]]="","","T-"&amp;TEXT(ROW()-ROW(Tasks[#Headers]),"000"))</f>
        <v>T-011</v>
      </c>
      <c r="B15" s="15" t="s">
        <v>55</v>
      </c>
      <c r="C15" s="15" t="s">
        <v>31</v>
      </c>
      <c r="D15" s="15" t="s">
        <v>36</v>
      </c>
      <c r="E15" s="15" t="s">
        <v>33</v>
      </c>
      <c r="F15" s="16">
        <f ca="1">WORKDAY.INTL(ReportDate,6,WeekendCode,Holidays)</f>
        <v>46327</v>
      </c>
      <c r="G15" s="16">
        <f ca="1">WORKDAY.INTL(ReportDate,20,WeekendCode,Holidays)</f>
        <v>46345</v>
      </c>
      <c r="H15" s="16"/>
      <c r="I15" s="15"/>
      <c r="J15" s="15"/>
      <c r="K15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Not started</v>
      </c>
      <c r="L15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20 working days left</v>
      </c>
      <c r="M15" s="17">
        <f>IF(Tasks[[#This Row],[Task]]="","",IFERROR(VLOOKUP(IF(Tasks[[#This Row],[Effort]]="","M",Tasks[[#This Row],[Effort]]),EffortTable,2,FALSE),0))</f>
        <v>3</v>
      </c>
      <c r="N15">
        <f ca="1">IF(Tasks[[#This Row],[Task]]="","",IFERROR(MATCH(Tasks[[#This Row],[Status]],{"Late","Blocked","Due soon"},0),9)*100000+N(Tasks[[#This Row],[Due]]))</f>
        <v>946345</v>
      </c>
      <c r="O15" t="str" cm="1">
        <f t="array" aca="1" ref="O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" t="str" cm="1">
        <f t="array" aca="1" ref="P15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" t="str" cm="1">
        <f t="array" aca="1" ref="Q15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" t="str" cm="1">
        <f t="array" aca="1" ref="R15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" spans="1:22" x14ac:dyDescent="0.25">
      <c r="A16" s="14" t="str" cm="1">
        <f t="array" ref="A16">IF(Tasks[[#This Row],[Task]]="","","T-"&amp;TEXT(ROW()-ROW(Tasks[#Headers]),"000"))</f>
        <v>T-012</v>
      </c>
      <c r="B16" s="15" t="s">
        <v>56</v>
      </c>
      <c r="C16" s="15" t="s">
        <v>35</v>
      </c>
      <c r="D16" s="15" t="s">
        <v>49</v>
      </c>
      <c r="E16" s="15" t="s">
        <v>33</v>
      </c>
      <c r="F16" s="16">
        <f ca="1">WORKDAY.INTL(ReportDate,-2,WeekendCode,Holidays)</f>
        <v>46316</v>
      </c>
      <c r="G16" s="16">
        <f ca="1">WORKDAY.INTL(ReportDate,12,WeekendCode,Holidays)</f>
        <v>46335</v>
      </c>
      <c r="H16" s="16"/>
      <c r="I16" s="15"/>
      <c r="J16" s="15"/>
      <c r="K16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On track</v>
      </c>
      <c r="L16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12 working days left</v>
      </c>
      <c r="M16" s="17">
        <f>IF(Tasks[[#This Row],[Task]]="","",IFERROR(VLOOKUP(IF(Tasks[[#This Row],[Effort]]="","M",Tasks[[#This Row],[Effort]]),EffortTable,2,FALSE),0))</f>
        <v>3</v>
      </c>
      <c r="N16">
        <f ca="1">IF(Tasks[[#This Row],[Task]]="","",IFERROR(MATCH(Tasks[[#This Row],[Status]],{"Late","Blocked","Due soon"},0),9)*100000+N(Tasks[[#This Row],[Due]]))</f>
        <v>946335</v>
      </c>
      <c r="O16" t="str" cm="1">
        <f t="array" aca="1" ref="O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" t="str" cm="1">
        <f t="array" aca="1" ref="P16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" t="str" cm="1">
        <f t="array" aca="1" ref="Q16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" t="str" cm="1">
        <f t="array" aca="1" ref="R16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" spans="1:18" x14ac:dyDescent="0.25">
      <c r="A17" s="14" t="str" cm="1">
        <f t="array" ref="A17">IF(Tasks[[#This Row],[Task]]="","","T-"&amp;TEXT(ROW()-ROW(Tasks[#Headers]),"000"))</f>
        <v>T-013</v>
      </c>
      <c r="B17" s="15" t="s">
        <v>57</v>
      </c>
      <c r="C17" s="15" t="s">
        <v>43</v>
      </c>
      <c r="D17" s="15" t="s">
        <v>32</v>
      </c>
      <c r="E17" s="15" t="s">
        <v>33</v>
      </c>
      <c r="F17" s="16">
        <f ca="1">WORKDAY.INTL(ReportDate,-5,WeekendCode,Holidays)</f>
        <v>46313</v>
      </c>
      <c r="G17" s="16">
        <f ca="1">WORKDAY.INTL(ReportDate,0,WeekendCode,Holidays)</f>
        <v>46319</v>
      </c>
      <c r="H17" s="16">
        <f ca="1">WORKDAY.INTL(ReportDate,0,WeekendCode,Holidays)</f>
        <v>46319</v>
      </c>
      <c r="I17" s="15"/>
      <c r="J17" s="15"/>
      <c r="K17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17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24 Oct</v>
      </c>
      <c r="M17" s="17">
        <f>IF(Tasks[[#This Row],[Task]]="","",IFERROR(VLOOKUP(IF(Tasks[[#This Row],[Effort]]="","M",Tasks[[#This Row],[Effort]]),EffortTable,2,FALSE),0))</f>
        <v>3</v>
      </c>
      <c r="N17">
        <f ca="1">IF(Tasks[[#This Row],[Task]]="","",IFERROR(MATCH(Tasks[[#This Row],[Status]],{"Late","Blocked","Due soon"},0),9)*100000+N(Tasks[[#This Row],[Due]]))</f>
        <v>946319</v>
      </c>
      <c r="O17" t="str" cm="1">
        <f t="array" aca="1" ref="O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Monthly KPI report (Lina)</v>
      </c>
      <c r="P17" t="str" cm="1">
        <f t="array" aca="1" ref="P17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" t="str" cm="1">
        <f t="array" aca="1" ref="Q17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" t="str" cm="1">
        <f t="array" aca="1" ref="R17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" spans="1:18" x14ac:dyDescent="0.25">
      <c r="A18" s="14" t="str" cm="1">
        <f t="array" ref="A18">IF(Tasks[[#This Row],[Task]]="","","T-"&amp;TEXT(ROW()-ROW(Tasks[#Headers]),"000"))</f>
        <v>T-014</v>
      </c>
      <c r="B18" s="15" t="s">
        <v>58</v>
      </c>
      <c r="C18" s="15" t="s">
        <v>48</v>
      </c>
      <c r="D18" s="15" t="s">
        <v>49</v>
      </c>
      <c r="E18" s="15" t="s">
        <v>40</v>
      </c>
      <c r="F18" s="16">
        <f ca="1">WORKDAY.INTL(ReportDate,1,WeekendCode,Holidays)</f>
        <v>46320</v>
      </c>
      <c r="G18" s="16">
        <f ca="1">WORKDAY.INTL(ReportDate,15,WeekendCode,Holidays)</f>
        <v>46338</v>
      </c>
      <c r="H18" s="16"/>
      <c r="I18" s="15"/>
      <c r="J18" s="15"/>
      <c r="K18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Not started</v>
      </c>
      <c r="L18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15 working days left</v>
      </c>
      <c r="M18" s="17">
        <f>IF(Tasks[[#This Row],[Task]]="","",IFERROR(VLOOKUP(IF(Tasks[[#This Row],[Effort]]="","M",Tasks[[#This Row],[Effort]]),EffortTable,2,FALSE),0))</f>
        <v>5</v>
      </c>
      <c r="N18">
        <f ca="1">IF(Tasks[[#This Row],[Task]]="","",IFERROR(MATCH(Tasks[[#This Row],[Status]],{"Late","Blocked","Due soon"},0),9)*100000+N(Tasks[[#This Row],[Due]]))</f>
        <v>946338</v>
      </c>
      <c r="O18" t="str" cm="1">
        <f t="array" aca="1" ref="O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" t="str" cm="1">
        <f t="array" aca="1" ref="P18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" t="str" cm="1">
        <f t="array" aca="1" ref="Q18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" t="str" cm="1">
        <f t="array" aca="1" ref="R18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" spans="1:18" x14ac:dyDescent="0.25">
      <c r="A19" s="14" t="str" cm="1">
        <f t="array" ref="A19">IF(Tasks[[#This Row],[Task]]="","","T-"&amp;TEXT(ROW()-ROW(Tasks[#Headers]),"000"))</f>
        <v>T-015</v>
      </c>
      <c r="B19" s="15" t="s">
        <v>59</v>
      </c>
      <c r="C19" s="15" t="s">
        <v>39</v>
      </c>
      <c r="D19" s="15" t="s">
        <v>36</v>
      </c>
      <c r="E19" s="15" t="s">
        <v>33</v>
      </c>
      <c r="F19" s="16">
        <f ca="1">WORKDAY.INTL(ReportDate,-3,WeekendCode,Holidays)</f>
        <v>46315</v>
      </c>
      <c r="G19" s="16">
        <f ca="1">WORKDAY.INTL(ReportDate,2,WeekendCode,Holidays)</f>
        <v>46321</v>
      </c>
      <c r="H19" s="16"/>
      <c r="I19" s="15"/>
      <c r="J19" s="15"/>
      <c r="K19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Due soon</v>
      </c>
      <c r="L19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2 working days left</v>
      </c>
      <c r="M19" s="17">
        <f>IF(Tasks[[#This Row],[Task]]="","",IFERROR(VLOOKUP(IF(Tasks[[#This Row],[Effort]]="","M",Tasks[[#This Row],[Effort]]),EffortTable,2,FALSE),0))</f>
        <v>3</v>
      </c>
      <c r="N19">
        <f ca="1">IF(Tasks[[#This Row],[Task]]="","",IFERROR(MATCH(Tasks[[#This Row],[Status]],{"Late","Blocked","Due soon"},0),9)*100000+N(Tasks[[#This Row],[Due]]))</f>
        <v>346321</v>
      </c>
      <c r="O19" t="str" cm="1">
        <f t="array" aca="1" ref="O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" t="str" cm="1">
        <f t="array" aca="1" ref="P19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" t="str" cm="1">
        <f t="array" aca="1" ref="Q19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" t="str" cm="1">
        <f t="array" aca="1" ref="R19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>- Intern hiring: first interviews (Sara), due Mon 26 Oct</v>
      </c>
    </row>
    <row r="20" spans="1:18" x14ac:dyDescent="0.25">
      <c r="A20" s="14" t="str" cm="1">
        <f t="array" ref="A20">IF(Tasks[[#This Row],[Task]]="","","T-"&amp;TEXT(ROW()-ROW(Tasks[#Headers]),"000"))</f>
        <v>T-016</v>
      </c>
      <c r="B20" s="15" t="s">
        <v>60</v>
      </c>
      <c r="C20" s="15" t="s">
        <v>31</v>
      </c>
      <c r="D20" s="15" t="s">
        <v>36</v>
      </c>
      <c r="E20" s="15" t="s">
        <v>37</v>
      </c>
      <c r="F20" s="16">
        <f ca="1">WORKDAY.INTL(ReportDate,-14,WeekendCode,Holidays)</f>
        <v>46300</v>
      </c>
      <c r="G20" s="16">
        <f ca="1">WORKDAY.INTL(ReportDate,-9,WeekendCode,Holidays)</f>
        <v>46307</v>
      </c>
      <c r="H20" s="16">
        <f ca="1">WORKDAY.INTL(ReportDate,-9,WeekendCode,Holidays)</f>
        <v>46307</v>
      </c>
      <c r="I20" s="15"/>
      <c r="J20" s="15"/>
      <c r="K20" s="17" t="str">
        <f ca="1"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>Done</v>
      </c>
      <c r="L20" s="17" t="str">
        <f ca="1"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>Done 12 Oct</v>
      </c>
      <c r="M20" s="17">
        <f>IF(Tasks[[#This Row],[Task]]="","",IFERROR(VLOOKUP(IF(Tasks[[#This Row],[Effort]]="","M",Tasks[[#This Row],[Effort]]),EffortTable,2,FALSE),0))</f>
        <v>1</v>
      </c>
      <c r="N20">
        <f ca="1">IF(Tasks[[#This Row],[Task]]="","",IFERROR(MATCH(Tasks[[#This Row],[Status]],{"Late","Blocked","Due soon"},0),9)*100000+N(Tasks[[#This Row],[Due]]))</f>
        <v>946307</v>
      </c>
      <c r="O20" t="str" cm="1">
        <f t="array" aca="1" ref="O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" t="str" cm="1">
        <f t="array" aca="1" ref="P20" ca="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" t="str" cm="1">
        <f t="array" aca="1" ref="Q20" ca="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" t="str" cm="1">
        <f t="array" aca="1" ref="R20" ca="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" spans="1:18" x14ac:dyDescent="0.25">
      <c r="A21" s="14" t="str" cm="1">
        <f t="array" ref="A21">IF(Tasks[[#This Row],[Task]]="","","T-"&amp;TEXT(ROW()-ROW(Tasks[#Headers]),"000"))</f>
        <v/>
      </c>
      <c r="B21" s="15"/>
      <c r="C21" s="15"/>
      <c r="D21" s="15"/>
      <c r="E21" s="15"/>
      <c r="F21" s="16"/>
      <c r="G21" s="16"/>
      <c r="H21" s="16"/>
      <c r="I21" s="15"/>
      <c r="J21" s="15"/>
      <c r="K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" s="17" t="str">
        <f>IF(Tasks[[#This Row],[Task]]="","",IFERROR(VLOOKUP(IF(Tasks[[#This Row],[Effort]]="","M",Tasks[[#This Row],[Effort]]),EffortTable,2,FALSE),0))</f>
        <v/>
      </c>
      <c r="N21" t="str">
        <f>IF(Tasks[[#This Row],[Task]]="","",IFERROR(MATCH(Tasks[[#This Row],[Status]],{"Late","Blocked","Due soon"},0),9)*100000+N(Tasks[[#This Row],[Due]]))</f>
        <v/>
      </c>
      <c r="O21" t="str" cm="1">
        <f t="array" aca="1" ref="O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" t="str" cm="1">
        <f t="array" ref="P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" t="str" cm="1">
        <f t="array" ref="Q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" t="str" cm="1">
        <f t="array" ref="R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" spans="1:18" x14ac:dyDescent="0.25">
      <c r="A22" s="14" t="str" cm="1">
        <f t="array" ref="A22">IF(Tasks[[#This Row],[Task]]="","","T-"&amp;TEXT(ROW()-ROW(Tasks[#Headers]),"000"))</f>
        <v/>
      </c>
      <c r="B22" s="15"/>
      <c r="C22" s="15"/>
      <c r="D22" s="15"/>
      <c r="E22" s="15"/>
      <c r="F22" s="16"/>
      <c r="G22" s="16"/>
      <c r="H22" s="16"/>
      <c r="I22" s="15"/>
      <c r="J22" s="15"/>
      <c r="K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" s="17" t="str">
        <f>IF(Tasks[[#This Row],[Task]]="","",IFERROR(VLOOKUP(IF(Tasks[[#This Row],[Effort]]="","M",Tasks[[#This Row],[Effort]]),EffortTable,2,FALSE),0))</f>
        <v/>
      </c>
      <c r="N22" t="str">
        <f>IF(Tasks[[#This Row],[Task]]="","",IFERROR(MATCH(Tasks[[#This Row],[Status]],{"Late","Blocked","Due soon"},0),9)*100000+N(Tasks[[#This Row],[Due]]))</f>
        <v/>
      </c>
      <c r="O22" t="str" cm="1">
        <f t="array" aca="1" ref="O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" t="str" cm="1">
        <f t="array" ref="P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" t="str" cm="1">
        <f t="array" ref="Q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" t="str" cm="1">
        <f t="array" ref="R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" spans="1:18" x14ac:dyDescent="0.25">
      <c r="A23" s="14" t="str" cm="1">
        <f t="array" ref="A23">IF(Tasks[[#This Row],[Task]]="","","T-"&amp;TEXT(ROW()-ROW(Tasks[#Headers]),"000"))</f>
        <v/>
      </c>
      <c r="B23" s="15"/>
      <c r="C23" s="15"/>
      <c r="D23" s="15"/>
      <c r="E23" s="15"/>
      <c r="F23" s="16"/>
      <c r="G23" s="16"/>
      <c r="H23" s="16"/>
      <c r="I23" s="15"/>
      <c r="J23" s="15"/>
      <c r="K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" s="17" t="str">
        <f>IF(Tasks[[#This Row],[Task]]="","",IFERROR(VLOOKUP(IF(Tasks[[#This Row],[Effort]]="","M",Tasks[[#This Row],[Effort]]),EffortTable,2,FALSE),0))</f>
        <v/>
      </c>
      <c r="N23" t="str">
        <f>IF(Tasks[[#This Row],[Task]]="","",IFERROR(MATCH(Tasks[[#This Row],[Status]],{"Late","Blocked","Due soon"},0),9)*100000+N(Tasks[[#This Row],[Due]]))</f>
        <v/>
      </c>
      <c r="O23" t="str" cm="1">
        <f t="array" aca="1" ref="O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" t="str" cm="1">
        <f t="array" ref="P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" t="str" cm="1">
        <f t="array" ref="Q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" t="str" cm="1">
        <f t="array" ref="R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" spans="1:18" x14ac:dyDescent="0.25">
      <c r="A24" s="14" t="str" cm="1">
        <f t="array" ref="A24">IF(Tasks[[#This Row],[Task]]="","","T-"&amp;TEXT(ROW()-ROW(Tasks[#Headers]),"000"))</f>
        <v/>
      </c>
      <c r="B24" s="15"/>
      <c r="C24" s="15"/>
      <c r="D24" s="15"/>
      <c r="E24" s="15"/>
      <c r="F24" s="16"/>
      <c r="G24" s="16"/>
      <c r="H24" s="16"/>
      <c r="I24" s="15"/>
      <c r="J24" s="15"/>
      <c r="K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" s="17" t="str">
        <f>IF(Tasks[[#This Row],[Task]]="","",IFERROR(VLOOKUP(IF(Tasks[[#This Row],[Effort]]="","M",Tasks[[#This Row],[Effort]]),EffortTable,2,FALSE),0))</f>
        <v/>
      </c>
      <c r="N24" t="str">
        <f>IF(Tasks[[#This Row],[Task]]="","",IFERROR(MATCH(Tasks[[#This Row],[Status]],{"Late","Blocked","Due soon"},0),9)*100000+N(Tasks[[#This Row],[Due]]))</f>
        <v/>
      </c>
      <c r="O24" t="str" cm="1">
        <f t="array" aca="1" ref="O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" t="str" cm="1">
        <f t="array" ref="P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" t="str" cm="1">
        <f t="array" ref="Q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" t="str" cm="1">
        <f t="array" ref="R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" spans="1:18" x14ac:dyDescent="0.25">
      <c r="A25" s="14" t="str" cm="1">
        <f t="array" ref="A25">IF(Tasks[[#This Row],[Task]]="","","T-"&amp;TEXT(ROW()-ROW(Tasks[#Headers]),"000"))</f>
        <v/>
      </c>
      <c r="B25" s="15"/>
      <c r="C25" s="15"/>
      <c r="D25" s="15"/>
      <c r="E25" s="15"/>
      <c r="F25" s="16"/>
      <c r="G25" s="16"/>
      <c r="H25" s="16"/>
      <c r="I25" s="15"/>
      <c r="J25" s="15"/>
      <c r="K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" s="17" t="str">
        <f>IF(Tasks[[#This Row],[Task]]="","",IFERROR(VLOOKUP(IF(Tasks[[#This Row],[Effort]]="","M",Tasks[[#This Row],[Effort]]),EffortTable,2,FALSE),0))</f>
        <v/>
      </c>
      <c r="N25" t="str">
        <f>IF(Tasks[[#This Row],[Task]]="","",IFERROR(MATCH(Tasks[[#This Row],[Status]],{"Late","Blocked","Due soon"},0),9)*100000+N(Tasks[[#This Row],[Due]]))</f>
        <v/>
      </c>
      <c r="O25" t="str" cm="1">
        <f t="array" aca="1" ref="O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" t="str" cm="1">
        <f t="array" ref="P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" t="str" cm="1">
        <f t="array" ref="Q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" t="str" cm="1">
        <f t="array" ref="R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" spans="1:18" x14ac:dyDescent="0.25">
      <c r="A26" s="14" t="str" cm="1">
        <f t="array" ref="A26">IF(Tasks[[#This Row],[Task]]="","","T-"&amp;TEXT(ROW()-ROW(Tasks[#Headers]),"000"))</f>
        <v/>
      </c>
      <c r="B26" s="15"/>
      <c r="C26" s="15"/>
      <c r="D26" s="15"/>
      <c r="E26" s="15"/>
      <c r="F26" s="16"/>
      <c r="G26" s="16"/>
      <c r="H26" s="16"/>
      <c r="I26" s="15"/>
      <c r="J26" s="15"/>
      <c r="K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" s="17" t="str">
        <f>IF(Tasks[[#This Row],[Task]]="","",IFERROR(VLOOKUP(IF(Tasks[[#This Row],[Effort]]="","M",Tasks[[#This Row],[Effort]]),EffortTable,2,FALSE),0))</f>
        <v/>
      </c>
      <c r="N26" t="str">
        <f>IF(Tasks[[#This Row],[Task]]="","",IFERROR(MATCH(Tasks[[#This Row],[Status]],{"Late","Blocked","Due soon"},0),9)*100000+N(Tasks[[#This Row],[Due]]))</f>
        <v/>
      </c>
      <c r="O26" t="str" cm="1">
        <f t="array" aca="1" ref="O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" t="str" cm="1">
        <f t="array" ref="P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" t="str" cm="1">
        <f t="array" ref="Q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" t="str" cm="1">
        <f t="array" ref="R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" spans="1:18" x14ac:dyDescent="0.25">
      <c r="A27" s="14" t="str" cm="1">
        <f t="array" ref="A27">IF(Tasks[[#This Row],[Task]]="","","T-"&amp;TEXT(ROW()-ROW(Tasks[#Headers]),"000"))</f>
        <v/>
      </c>
      <c r="B27" s="15"/>
      <c r="C27" s="15"/>
      <c r="D27" s="15"/>
      <c r="E27" s="15"/>
      <c r="F27" s="16"/>
      <c r="G27" s="16"/>
      <c r="H27" s="16"/>
      <c r="I27" s="15"/>
      <c r="J27" s="15"/>
      <c r="K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" s="17" t="str">
        <f>IF(Tasks[[#This Row],[Task]]="","",IFERROR(VLOOKUP(IF(Tasks[[#This Row],[Effort]]="","M",Tasks[[#This Row],[Effort]]),EffortTable,2,FALSE),0))</f>
        <v/>
      </c>
      <c r="N27" t="str">
        <f>IF(Tasks[[#This Row],[Task]]="","",IFERROR(MATCH(Tasks[[#This Row],[Status]],{"Late","Blocked","Due soon"},0),9)*100000+N(Tasks[[#This Row],[Due]]))</f>
        <v/>
      </c>
      <c r="O27" t="str" cm="1">
        <f t="array" aca="1" ref="O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" t="str" cm="1">
        <f t="array" ref="P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" t="str" cm="1">
        <f t="array" ref="Q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" t="str" cm="1">
        <f t="array" ref="R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" spans="1:18" x14ac:dyDescent="0.25">
      <c r="A28" s="14" t="str" cm="1">
        <f t="array" ref="A28">IF(Tasks[[#This Row],[Task]]="","","T-"&amp;TEXT(ROW()-ROW(Tasks[#Headers]),"000"))</f>
        <v/>
      </c>
      <c r="B28" s="15"/>
      <c r="C28" s="15"/>
      <c r="D28" s="15"/>
      <c r="E28" s="15"/>
      <c r="F28" s="16"/>
      <c r="G28" s="16"/>
      <c r="H28" s="16"/>
      <c r="I28" s="15"/>
      <c r="J28" s="15"/>
      <c r="K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" s="17" t="str">
        <f>IF(Tasks[[#This Row],[Task]]="","",IFERROR(VLOOKUP(IF(Tasks[[#This Row],[Effort]]="","M",Tasks[[#This Row],[Effort]]),EffortTable,2,FALSE),0))</f>
        <v/>
      </c>
      <c r="N28" t="str">
        <f>IF(Tasks[[#This Row],[Task]]="","",IFERROR(MATCH(Tasks[[#This Row],[Status]],{"Late","Blocked","Due soon"},0),9)*100000+N(Tasks[[#This Row],[Due]]))</f>
        <v/>
      </c>
      <c r="O28" t="str" cm="1">
        <f t="array" aca="1" ref="O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" t="str" cm="1">
        <f t="array" ref="P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" t="str" cm="1">
        <f t="array" ref="Q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" t="str" cm="1">
        <f t="array" ref="R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" spans="1:18" x14ac:dyDescent="0.25">
      <c r="A29" s="14" t="str" cm="1">
        <f t="array" ref="A29">IF(Tasks[[#This Row],[Task]]="","","T-"&amp;TEXT(ROW()-ROW(Tasks[#Headers]),"000"))</f>
        <v/>
      </c>
      <c r="B29" s="15"/>
      <c r="C29" s="15"/>
      <c r="D29" s="15"/>
      <c r="E29" s="15"/>
      <c r="F29" s="16"/>
      <c r="G29" s="16"/>
      <c r="H29" s="16"/>
      <c r="I29" s="15"/>
      <c r="J29" s="15"/>
      <c r="K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" s="17" t="str">
        <f>IF(Tasks[[#This Row],[Task]]="","",IFERROR(VLOOKUP(IF(Tasks[[#This Row],[Effort]]="","M",Tasks[[#This Row],[Effort]]),EffortTable,2,FALSE),0))</f>
        <v/>
      </c>
      <c r="N29" t="str">
        <f>IF(Tasks[[#This Row],[Task]]="","",IFERROR(MATCH(Tasks[[#This Row],[Status]],{"Late","Blocked","Due soon"},0),9)*100000+N(Tasks[[#This Row],[Due]]))</f>
        <v/>
      </c>
      <c r="O29" t="str" cm="1">
        <f t="array" aca="1" ref="O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" t="str" cm="1">
        <f t="array" ref="P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" t="str" cm="1">
        <f t="array" ref="Q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" t="str" cm="1">
        <f t="array" ref="R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" spans="1:18" x14ac:dyDescent="0.25">
      <c r="A30" s="14" t="str" cm="1">
        <f t="array" ref="A30">IF(Tasks[[#This Row],[Task]]="","","T-"&amp;TEXT(ROW()-ROW(Tasks[#Headers]),"000"))</f>
        <v/>
      </c>
      <c r="B30" s="15"/>
      <c r="C30" s="15"/>
      <c r="D30" s="15"/>
      <c r="E30" s="15"/>
      <c r="F30" s="16"/>
      <c r="G30" s="16"/>
      <c r="H30" s="16"/>
      <c r="I30" s="15"/>
      <c r="J30" s="15"/>
      <c r="K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" s="17" t="str">
        <f>IF(Tasks[[#This Row],[Task]]="","",IFERROR(VLOOKUP(IF(Tasks[[#This Row],[Effort]]="","M",Tasks[[#This Row],[Effort]]),EffortTable,2,FALSE),0))</f>
        <v/>
      </c>
      <c r="N30" t="str">
        <f>IF(Tasks[[#This Row],[Task]]="","",IFERROR(MATCH(Tasks[[#This Row],[Status]],{"Late","Blocked","Due soon"},0),9)*100000+N(Tasks[[#This Row],[Due]]))</f>
        <v/>
      </c>
      <c r="O30" t="str" cm="1">
        <f t="array" aca="1" ref="O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" t="str" cm="1">
        <f t="array" ref="P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" t="str" cm="1">
        <f t="array" ref="Q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" t="str" cm="1">
        <f t="array" ref="R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" spans="1:18" x14ac:dyDescent="0.25">
      <c r="A31" s="14" t="str" cm="1">
        <f t="array" ref="A31">IF(Tasks[[#This Row],[Task]]="","","T-"&amp;TEXT(ROW()-ROW(Tasks[#Headers]),"000"))</f>
        <v/>
      </c>
      <c r="B31" s="15"/>
      <c r="C31" s="15"/>
      <c r="D31" s="15"/>
      <c r="E31" s="15"/>
      <c r="F31" s="16"/>
      <c r="G31" s="16"/>
      <c r="H31" s="16"/>
      <c r="I31" s="15"/>
      <c r="J31" s="15"/>
      <c r="K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" s="17" t="str">
        <f>IF(Tasks[[#This Row],[Task]]="","",IFERROR(VLOOKUP(IF(Tasks[[#This Row],[Effort]]="","M",Tasks[[#This Row],[Effort]]),EffortTable,2,FALSE),0))</f>
        <v/>
      </c>
      <c r="N31" t="str">
        <f>IF(Tasks[[#This Row],[Task]]="","",IFERROR(MATCH(Tasks[[#This Row],[Status]],{"Late","Blocked","Due soon"},0),9)*100000+N(Tasks[[#This Row],[Due]]))</f>
        <v/>
      </c>
      <c r="O31" t="str" cm="1">
        <f t="array" aca="1" ref="O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" t="str" cm="1">
        <f t="array" ref="P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" t="str" cm="1">
        <f t="array" ref="Q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" t="str" cm="1">
        <f t="array" ref="R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" spans="1:18" x14ac:dyDescent="0.25">
      <c r="A32" s="14" t="str" cm="1">
        <f t="array" ref="A32">IF(Tasks[[#This Row],[Task]]="","","T-"&amp;TEXT(ROW()-ROW(Tasks[#Headers]),"000"))</f>
        <v/>
      </c>
      <c r="B32" s="15"/>
      <c r="C32" s="15"/>
      <c r="D32" s="15"/>
      <c r="E32" s="15"/>
      <c r="F32" s="16"/>
      <c r="G32" s="16"/>
      <c r="H32" s="16"/>
      <c r="I32" s="15"/>
      <c r="J32" s="15"/>
      <c r="K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" s="17" t="str">
        <f>IF(Tasks[[#This Row],[Task]]="","",IFERROR(VLOOKUP(IF(Tasks[[#This Row],[Effort]]="","M",Tasks[[#This Row],[Effort]]),EffortTable,2,FALSE),0))</f>
        <v/>
      </c>
      <c r="N32" t="str">
        <f>IF(Tasks[[#This Row],[Task]]="","",IFERROR(MATCH(Tasks[[#This Row],[Status]],{"Late","Blocked","Due soon"},0),9)*100000+N(Tasks[[#This Row],[Due]]))</f>
        <v/>
      </c>
      <c r="O32" t="str" cm="1">
        <f t="array" aca="1" ref="O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" t="str" cm="1">
        <f t="array" ref="P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" t="str" cm="1">
        <f t="array" ref="Q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" t="str" cm="1">
        <f t="array" ref="R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" spans="1:18" x14ac:dyDescent="0.25">
      <c r="A33" s="14" t="str" cm="1">
        <f t="array" ref="A33">IF(Tasks[[#This Row],[Task]]="","","T-"&amp;TEXT(ROW()-ROW(Tasks[#Headers]),"000"))</f>
        <v/>
      </c>
      <c r="B33" s="15"/>
      <c r="C33" s="15"/>
      <c r="D33" s="15"/>
      <c r="E33" s="15"/>
      <c r="F33" s="16"/>
      <c r="G33" s="16"/>
      <c r="H33" s="16"/>
      <c r="I33" s="15"/>
      <c r="J33" s="15"/>
      <c r="K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" s="17" t="str">
        <f>IF(Tasks[[#This Row],[Task]]="","",IFERROR(VLOOKUP(IF(Tasks[[#This Row],[Effort]]="","M",Tasks[[#This Row],[Effort]]),EffortTable,2,FALSE),0))</f>
        <v/>
      </c>
      <c r="N33" t="str">
        <f>IF(Tasks[[#This Row],[Task]]="","",IFERROR(MATCH(Tasks[[#This Row],[Status]],{"Late","Blocked","Due soon"},0),9)*100000+N(Tasks[[#This Row],[Due]]))</f>
        <v/>
      </c>
      <c r="O33" t="str" cm="1">
        <f t="array" aca="1" ref="O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" t="str" cm="1">
        <f t="array" ref="P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" t="str" cm="1">
        <f t="array" ref="Q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" t="str" cm="1">
        <f t="array" ref="R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" spans="1:18" x14ac:dyDescent="0.25">
      <c r="A34" s="14" t="str" cm="1">
        <f t="array" ref="A34">IF(Tasks[[#This Row],[Task]]="","","T-"&amp;TEXT(ROW()-ROW(Tasks[#Headers]),"000"))</f>
        <v/>
      </c>
      <c r="B34" s="15"/>
      <c r="C34" s="15"/>
      <c r="D34" s="15"/>
      <c r="E34" s="15"/>
      <c r="F34" s="16"/>
      <c r="G34" s="16"/>
      <c r="H34" s="16"/>
      <c r="I34" s="15"/>
      <c r="J34" s="15"/>
      <c r="K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" s="17" t="str">
        <f>IF(Tasks[[#This Row],[Task]]="","",IFERROR(VLOOKUP(IF(Tasks[[#This Row],[Effort]]="","M",Tasks[[#This Row],[Effort]]),EffortTable,2,FALSE),0))</f>
        <v/>
      </c>
      <c r="N34" t="str">
        <f>IF(Tasks[[#This Row],[Task]]="","",IFERROR(MATCH(Tasks[[#This Row],[Status]],{"Late","Blocked","Due soon"},0),9)*100000+N(Tasks[[#This Row],[Due]]))</f>
        <v/>
      </c>
      <c r="O34" t="str" cm="1">
        <f t="array" aca="1" ref="O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" t="str" cm="1">
        <f t="array" ref="P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" t="str" cm="1">
        <f t="array" ref="Q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" t="str" cm="1">
        <f t="array" ref="R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" spans="1:18" x14ac:dyDescent="0.25">
      <c r="A35" s="14" t="str" cm="1">
        <f t="array" ref="A35">IF(Tasks[[#This Row],[Task]]="","","T-"&amp;TEXT(ROW()-ROW(Tasks[#Headers]),"000"))</f>
        <v/>
      </c>
      <c r="B35" s="15"/>
      <c r="C35" s="15"/>
      <c r="D35" s="15"/>
      <c r="E35" s="15"/>
      <c r="F35" s="16"/>
      <c r="G35" s="16"/>
      <c r="H35" s="16"/>
      <c r="I35" s="15"/>
      <c r="J35" s="15"/>
      <c r="K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" s="17" t="str">
        <f>IF(Tasks[[#This Row],[Task]]="","",IFERROR(VLOOKUP(IF(Tasks[[#This Row],[Effort]]="","M",Tasks[[#This Row],[Effort]]),EffortTable,2,FALSE),0))</f>
        <v/>
      </c>
      <c r="N35" t="str">
        <f>IF(Tasks[[#This Row],[Task]]="","",IFERROR(MATCH(Tasks[[#This Row],[Status]],{"Late","Blocked","Due soon"},0),9)*100000+N(Tasks[[#This Row],[Due]]))</f>
        <v/>
      </c>
      <c r="O35" t="str" cm="1">
        <f t="array" aca="1" ref="O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" t="str" cm="1">
        <f t="array" ref="P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" t="str" cm="1">
        <f t="array" ref="Q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" t="str" cm="1">
        <f t="array" ref="R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" spans="1:18" x14ac:dyDescent="0.25">
      <c r="A36" s="14" t="str" cm="1">
        <f t="array" ref="A36">IF(Tasks[[#This Row],[Task]]="","","T-"&amp;TEXT(ROW()-ROW(Tasks[#Headers]),"000"))</f>
        <v/>
      </c>
      <c r="B36" s="15"/>
      <c r="C36" s="15"/>
      <c r="D36" s="15"/>
      <c r="E36" s="15"/>
      <c r="F36" s="16"/>
      <c r="G36" s="16"/>
      <c r="H36" s="16"/>
      <c r="I36" s="15"/>
      <c r="J36" s="15"/>
      <c r="K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" s="17" t="str">
        <f>IF(Tasks[[#This Row],[Task]]="","",IFERROR(VLOOKUP(IF(Tasks[[#This Row],[Effort]]="","M",Tasks[[#This Row],[Effort]]),EffortTable,2,FALSE),0))</f>
        <v/>
      </c>
      <c r="N36" t="str">
        <f>IF(Tasks[[#This Row],[Task]]="","",IFERROR(MATCH(Tasks[[#This Row],[Status]],{"Late","Blocked","Due soon"},0),9)*100000+N(Tasks[[#This Row],[Due]]))</f>
        <v/>
      </c>
      <c r="O36" t="str" cm="1">
        <f t="array" aca="1" ref="O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" t="str" cm="1">
        <f t="array" ref="P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" t="str" cm="1">
        <f t="array" ref="Q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" t="str" cm="1">
        <f t="array" ref="R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" spans="1:18" x14ac:dyDescent="0.25">
      <c r="A37" s="14" t="str" cm="1">
        <f t="array" ref="A37">IF(Tasks[[#This Row],[Task]]="","","T-"&amp;TEXT(ROW()-ROW(Tasks[#Headers]),"000"))</f>
        <v/>
      </c>
      <c r="B37" s="15"/>
      <c r="C37" s="15"/>
      <c r="D37" s="15"/>
      <c r="E37" s="15"/>
      <c r="F37" s="16"/>
      <c r="G37" s="16"/>
      <c r="H37" s="16"/>
      <c r="I37" s="15"/>
      <c r="J37" s="15"/>
      <c r="K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" s="17" t="str">
        <f>IF(Tasks[[#This Row],[Task]]="","",IFERROR(VLOOKUP(IF(Tasks[[#This Row],[Effort]]="","M",Tasks[[#This Row],[Effort]]),EffortTable,2,FALSE),0))</f>
        <v/>
      </c>
      <c r="N37" t="str">
        <f>IF(Tasks[[#This Row],[Task]]="","",IFERROR(MATCH(Tasks[[#This Row],[Status]],{"Late","Blocked","Due soon"},0),9)*100000+N(Tasks[[#This Row],[Due]]))</f>
        <v/>
      </c>
      <c r="O37" t="str" cm="1">
        <f t="array" aca="1" ref="O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" t="str" cm="1">
        <f t="array" ref="P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" t="str" cm="1">
        <f t="array" ref="Q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" t="str" cm="1">
        <f t="array" ref="R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" spans="1:18" x14ac:dyDescent="0.25">
      <c r="A38" s="14" t="str" cm="1">
        <f t="array" ref="A38">IF(Tasks[[#This Row],[Task]]="","","T-"&amp;TEXT(ROW()-ROW(Tasks[#Headers]),"000"))</f>
        <v/>
      </c>
      <c r="B38" s="15"/>
      <c r="C38" s="15"/>
      <c r="D38" s="15"/>
      <c r="E38" s="15"/>
      <c r="F38" s="16"/>
      <c r="G38" s="16"/>
      <c r="H38" s="16"/>
      <c r="I38" s="15"/>
      <c r="J38" s="15"/>
      <c r="K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" s="17" t="str">
        <f>IF(Tasks[[#This Row],[Task]]="","",IFERROR(VLOOKUP(IF(Tasks[[#This Row],[Effort]]="","M",Tasks[[#This Row],[Effort]]),EffortTable,2,FALSE),0))</f>
        <v/>
      </c>
      <c r="N38" t="str">
        <f>IF(Tasks[[#This Row],[Task]]="","",IFERROR(MATCH(Tasks[[#This Row],[Status]],{"Late","Blocked","Due soon"},0),9)*100000+N(Tasks[[#This Row],[Due]]))</f>
        <v/>
      </c>
      <c r="O38" t="str" cm="1">
        <f t="array" aca="1" ref="O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" t="str" cm="1">
        <f t="array" ref="P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" t="str" cm="1">
        <f t="array" ref="Q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" t="str" cm="1">
        <f t="array" ref="R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" spans="1:18" x14ac:dyDescent="0.25">
      <c r="A39" s="14" t="str" cm="1">
        <f t="array" ref="A39">IF(Tasks[[#This Row],[Task]]="","","T-"&amp;TEXT(ROW()-ROW(Tasks[#Headers]),"000"))</f>
        <v/>
      </c>
      <c r="B39" s="15"/>
      <c r="C39" s="15"/>
      <c r="D39" s="15"/>
      <c r="E39" s="15"/>
      <c r="F39" s="16"/>
      <c r="G39" s="16"/>
      <c r="H39" s="16"/>
      <c r="I39" s="15"/>
      <c r="J39" s="15"/>
      <c r="K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" s="17" t="str">
        <f>IF(Tasks[[#This Row],[Task]]="","",IFERROR(VLOOKUP(IF(Tasks[[#This Row],[Effort]]="","M",Tasks[[#This Row],[Effort]]),EffortTable,2,FALSE),0))</f>
        <v/>
      </c>
      <c r="N39" t="str">
        <f>IF(Tasks[[#This Row],[Task]]="","",IFERROR(MATCH(Tasks[[#This Row],[Status]],{"Late","Blocked","Due soon"},0),9)*100000+N(Tasks[[#This Row],[Due]]))</f>
        <v/>
      </c>
      <c r="O39" t="str" cm="1">
        <f t="array" aca="1" ref="O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" t="str" cm="1">
        <f t="array" ref="P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" t="str" cm="1">
        <f t="array" ref="Q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" t="str" cm="1">
        <f t="array" ref="R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" spans="1:18" x14ac:dyDescent="0.25">
      <c r="A40" s="14" t="str" cm="1">
        <f t="array" ref="A40">IF(Tasks[[#This Row],[Task]]="","","T-"&amp;TEXT(ROW()-ROW(Tasks[#Headers]),"000"))</f>
        <v/>
      </c>
      <c r="B40" s="15"/>
      <c r="C40" s="15"/>
      <c r="D40" s="15"/>
      <c r="E40" s="15"/>
      <c r="F40" s="16"/>
      <c r="G40" s="16"/>
      <c r="H40" s="16"/>
      <c r="I40" s="15"/>
      <c r="J40" s="15"/>
      <c r="K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" s="17" t="str">
        <f>IF(Tasks[[#This Row],[Task]]="","",IFERROR(VLOOKUP(IF(Tasks[[#This Row],[Effort]]="","M",Tasks[[#This Row],[Effort]]),EffortTable,2,FALSE),0))</f>
        <v/>
      </c>
      <c r="N40" t="str">
        <f>IF(Tasks[[#This Row],[Task]]="","",IFERROR(MATCH(Tasks[[#This Row],[Status]],{"Late","Blocked","Due soon"},0),9)*100000+N(Tasks[[#This Row],[Due]]))</f>
        <v/>
      </c>
      <c r="O40" t="str" cm="1">
        <f t="array" aca="1" ref="O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" t="str" cm="1">
        <f t="array" ref="P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" t="str" cm="1">
        <f t="array" ref="Q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" t="str" cm="1">
        <f t="array" ref="R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" spans="1:18" x14ac:dyDescent="0.25">
      <c r="A41" s="14" t="str" cm="1">
        <f t="array" ref="A41">IF(Tasks[[#This Row],[Task]]="","","T-"&amp;TEXT(ROW()-ROW(Tasks[#Headers]),"000"))</f>
        <v/>
      </c>
      <c r="B41" s="15"/>
      <c r="C41" s="15"/>
      <c r="D41" s="15"/>
      <c r="E41" s="15"/>
      <c r="F41" s="16"/>
      <c r="G41" s="16"/>
      <c r="H41" s="16"/>
      <c r="I41" s="15"/>
      <c r="J41" s="15"/>
      <c r="K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" s="17" t="str">
        <f>IF(Tasks[[#This Row],[Task]]="","",IFERROR(VLOOKUP(IF(Tasks[[#This Row],[Effort]]="","M",Tasks[[#This Row],[Effort]]),EffortTable,2,FALSE),0))</f>
        <v/>
      </c>
      <c r="N41" t="str">
        <f>IF(Tasks[[#This Row],[Task]]="","",IFERROR(MATCH(Tasks[[#This Row],[Status]],{"Late","Blocked","Due soon"},0),9)*100000+N(Tasks[[#This Row],[Due]]))</f>
        <v/>
      </c>
      <c r="O41" t="str" cm="1">
        <f t="array" aca="1" ref="O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" t="str" cm="1">
        <f t="array" ref="P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" t="str" cm="1">
        <f t="array" ref="Q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" t="str" cm="1">
        <f t="array" ref="R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" spans="1:18" x14ac:dyDescent="0.25">
      <c r="A42" s="14" t="str" cm="1">
        <f t="array" ref="A42">IF(Tasks[[#This Row],[Task]]="","","T-"&amp;TEXT(ROW()-ROW(Tasks[#Headers]),"000"))</f>
        <v/>
      </c>
      <c r="B42" s="15"/>
      <c r="C42" s="15"/>
      <c r="D42" s="15"/>
      <c r="E42" s="15"/>
      <c r="F42" s="16"/>
      <c r="G42" s="16"/>
      <c r="H42" s="16"/>
      <c r="I42" s="15"/>
      <c r="J42" s="15"/>
      <c r="K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" s="17" t="str">
        <f>IF(Tasks[[#This Row],[Task]]="","",IFERROR(VLOOKUP(IF(Tasks[[#This Row],[Effort]]="","M",Tasks[[#This Row],[Effort]]),EffortTable,2,FALSE),0))</f>
        <v/>
      </c>
      <c r="N42" t="str">
        <f>IF(Tasks[[#This Row],[Task]]="","",IFERROR(MATCH(Tasks[[#This Row],[Status]],{"Late","Blocked","Due soon"},0),9)*100000+N(Tasks[[#This Row],[Due]]))</f>
        <v/>
      </c>
      <c r="O42" t="str" cm="1">
        <f t="array" aca="1" ref="O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" t="str" cm="1">
        <f t="array" ref="P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" t="str" cm="1">
        <f t="array" ref="Q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" t="str" cm="1">
        <f t="array" ref="R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" spans="1:18" x14ac:dyDescent="0.25">
      <c r="A43" s="14" t="str" cm="1">
        <f t="array" ref="A43">IF(Tasks[[#This Row],[Task]]="","","T-"&amp;TEXT(ROW()-ROW(Tasks[#Headers]),"000"))</f>
        <v/>
      </c>
      <c r="B43" s="15"/>
      <c r="C43" s="15"/>
      <c r="D43" s="15"/>
      <c r="E43" s="15"/>
      <c r="F43" s="16"/>
      <c r="G43" s="16"/>
      <c r="H43" s="16"/>
      <c r="I43" s="15"/>
      <c r="J43" s="15"/>
      <c r="K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" s="17" t="str">
        <f>IF(Tasks[[#This Row],[Task]]="","",IFERROR(VLOOKUP(IF(Tasks[[#This Row],[Effort]]="","M",Tasks[[#This Row],[Effort]]),EffortTable,2,FALSE),0))</f>
        <v/>
      </c>
      <c r="N43" t="str">
        <f>IF(Tasks[[#This Row],[Task]]="","",IFERROR(MATCH(Tasks[[#This Row],[Status]],{"Late","Blocked","Due soon"},0),9)*100000+N(Tasks[[#This Row],[Due]]))</f>
        <v/>
      </c>
      <c r="O43" t="str" cm="1">
        <f t="array" aca="1" ref="O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" t="str" cm="1">
        <f t="array" ref="P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" t="str" cm="1">
        <f t="array" ref="Q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" t="str" cm="1">
        <f t="array" ref="R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" spans="1:18" x14ac:dyDescent="0.25">
      <c r="A44" s="14" t="str" cm="1">
        <f t="array" ref="A44">IF(Tasks[[#This Row],[Task]]="","","T-"&amp;TEXT(ROW()-ROW(Tasks[#Headers]),"000"))</f>
        <v/>
      </c>
      <c r="B44" s="15"/>
      <c r="C44" s="15"/>
      <c r="D44" s="15"/>
      <c r="E44" s="15"/>
      <c r="F44" s="16"/>
      <c r="G44" s="16"/>
      <c r="H44" s="16"/>
      <c r="I44" s="15"/>
      <c r="J44" s="15"/>
      <c r="K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" s="17" t="str">
        <f>IF(Tasks[[#This Row],[Task]]="","",IFERROR(VLOOKUP(IF(Tasks[[#This Row],[Effort]]="","M",Tasks[[#This Row],[Effort]]),EffortTable,2,FALSE),0))</f>
        <v/>
      </c>
      <c r="N44" t="str">
        <f>IF(Tasks[[#This Row],[Task]]="","",IFERROR(MATCH(Tasks[[#This Row],[Status]],{"Late","Blocked","Due soon"},0),9)*100000+N(Tasks[[#This Row],[Due]]))</f>
        <v/>
      </c>
      <c r="O44" t="str" cm="1">
        <f t="array" aca="1" ref="O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" t="str" cm="1">
        <f t="array" ref="P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" t="str" cm="1">
        <f t="array" ref="Q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" t="str" cm="1">
        <f t="array" ref="R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" spans="1:18" x14ac:dyDescent="0.25">
      <c r="A45" s="14" t="str" cm="1">
        <f t="array" ref="A45">IF(Tasks[[#This Row],[Task]]="","","T-"&amp;TEXT(ROW()-ROW(Tasks[#Headers]),"000"))</f>
        <v/>
      </c>
      <c r="B45" s="15"/>
      <c r="C45" s="15"/>
      <c r="D45" s="15"/>
      <c r="E45" s="15"/>
      <c r="F45" s="16"/>
      <c r="G45" s="16"/>
      <c r="H45" s="16"/>
      <c r="I45" s="15"/>
      <c r="J45" s="15"/>
      <c r="K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" s="17" t="str">
        <f>IF(Tasks[[#This Row],[Task]]="","",IFERROR(VLOOKUP(IF(Tasks[[#This Row],[Effort]]="","M",Tasks[[#This Row],[Effort]]),EffortTable,2,FALSE),0))</f>
        <v/>
      </c>
      <c r="N45" t="str">
        <f>IF(Tasks[[#This Row],[Task]]="","",IFERROR(MATCH(Tasks[[#This Row],[Status]],{"Late","Blocked","Due soon"},0),9)*100000+N(Tasks[[#This Row],[Due]]))</f>
        <v/>
      </c>
      <c r="O45" t="str" cm="1">
        <f t="array" aca="1" ref="O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" t="str" cm="1">
        <f t="array" ref="P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" t="str" cm="1">
        <f t="array" ref="Q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" t="str" cm="1">
        <f t="array" ref="R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" spans="1:18" x14ac:dyDescent="0.25">
      <c r="A46" s="14" t="str" cm="1">
        <f t="array" ref="A46">IF(Tasks[[#This Row],[Task]]="","","T-"&amp;TEXT(ROW()-ROW(Tasks[#Headers]),"000"))</f>
        <v/>
      </c>
      <c r="B46" s="15"/>
      <c r="C46" s="15"/>
      <c r="D46" s="15"/>
      <c r="E46" s="15"/>
      <c r="F46" s="16"/>
      <c r="G46" s="16"/>
      <c r="H46" s="16"/>
      <c r="I46" s="15"/>
      <c r="J46" s="15"/>
      <c r="K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" s="17" t="str">
        <f>IF(Tasks[[#This Row],[Task]]="","",IFERROR(VLOOKUP(IF(Tasks[[#This Row],[Effort]]="","M",Tasks[[#This Row],[Effort]]),EffortTable,2,FALSE),0))</f>
        <v/>
      </c>
      <c r="N46" t="str">
        <f>IF(Tasks[[#This Row],[Task]]="","",IFERROR(MATCH(Tasks[[#This Row],[Status]],{"Late","Blocked","Due soon"},0),9)*100000+N(Tasks[[#This Row],[Due]]))</f>
        <v/>
      </c>
      <c r="O46" t="str" cm="1">
        <f t="array" aca="1" ref="O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" t="str" cm="1">
        <f t="array" ref="P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" t="str" cm="1">
        <f t="array" ref="Q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" t="str" cm="1">
        <f t="array" ref="R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" spans="1:18" x14ac:dyDescent="0.25">
      <c r="A47" s="14" t="str" cm="1">
        <f t="array" ref="A47">IF(Tasks[[#This Row],[Task]]="","","T-"&amp;TEXT(ROW()-ROW(Tasks[#Headers]),"000"))</f>
        <v/>
      </c>
      <c r="B47" s="15"/>
      <c r="C47" s="15"/>
      <c r="D47" s="15"/>
      <c r="E47" s="15"/>
      <c r="F47" s="16"/>
      <c r="G47" s="16"/>
      <c r="H47" s="16"/>
      <c r="I47" s="15"/>
      <c r="J47" s="15"/>
      <c r="K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" s="17" t="str">
        <f>IF(Tasks[[#This Row],[Task]]="","",IFERROR(VLOOKUP(IF(Tasks[[#This Row],[Effort]]="","M",Tasks[[#This Row],[Effort]]),EffortTable,2,FALSE),0))</f>
        <v/>
      </c>
      <c r="N47" t="str">
        <f>IF(Tasks[[#This Row],[Task]]="","",IFERROR(MATCH(Tasks[[#This Row],[Status]],{"Late","Blocked","Due soon"},0),9)*100000+N(Tasks[[#This Row],[Due]]))</f>
        <v/>
      </c>
      <c r="O47" t="str" cm="1">
        <f t="array" aca="1" ref="O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" t="str" cm="1">
        <f t="array" ref="P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" t="str" cm="1">
        <f t="array" ref="Q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" t="str" cm="1">
        <f t="array" ref="R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" spans="1:18" x14ac:dyDescent="0.25">
      <c r="A48" s="14" t="str" cm="1">
        <f t="array" ref="A48">IF(Tasks[[#This Row],[Task]]="","","T-"&amp;TEXT(ROW()-ROW(Tasks[#Headers]),"000"))</f>
        <v/>
      </c>
      <c r="B48" s="15"/>
      <c r="C48" s="15"/>
      <c r="D48" s="15"/>
      <c r="E48" s="15"/>
      <c r="F48" s="16"/>
      <c r="G48" s="16"/>
      <c r="H48" s="16"/>
      <c r="I48" s="15"/>
      <c r="J48" s="15"/>
      <c r="K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" s="17" t="str">
        <f>IF(Tasks[[#This Row],[Task]]="","",IFERROR(VLOOKUP(IF(Tasks[[#This Row],[Effort]]="","M",Tasks[[#This Row],[Effort]]),EffortTable,2,FALSE),0))</f>
        <v/>
      </c>
      <c r="N48" t="str">
        <f>IF(Tasks[[#This Row],[Task]]="","",IFERROR(MATCH(Tasks[[#This Row],[Status]],{"Late","Blocked","Due soon"},0),9)*100000+N(Tasks[[#This Row],[Due]]))</f>
        <v/>
      </c>
      <c r="O48" t="str" cm="1">
        <f t="array" aca="1" ref="O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" t="str" cm="1">
        <f t="array" ref="P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" t="str" cm="1">
        <f t="array" ref="Q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" t="str" cm="1">
        <f t="array" ref="R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" spans="1:18" x14ac:dyDescent="0.25">
      <c r="A49" s="14" t="str" cm="1">
        <f t="array" ref="A49">IF(Tasks[[#This Row],[Task]]="","","T-"&amp;TEXT(ROW()-ROW(Tasks[#Headers]),"000"))</f>
        <v/>
      </c>
      <c r="B49" s="15"/>
      <c r="C49" s="15"/>
      <c r="D49" s="15"/>
      <c r="E49" s="15"/>
      <c r="F49" s="16"/>
      <c r="G49" s="16"/>
      <c r="H49" s="16"/>
      <c r="I49" s="15"/>
      <c r="J49" s="15"/>
      <c r="K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" s="17" t="str">
        <f>IF(Tasks[[#This Row],[Task]]="","",IFERROR(VLOOKUP(IF(Tasks[[#This Row],[Effort]]="","M",Tasks[[#This Row],[Effort]]),EffortTable,2,FALSE),0))</f>
        <v/>
      </c>
      <c r="N49" t="str">
        <f>IF(Tasks[[#This Row],[Task]]="","",IFERROR(MATCH(Tasks[[#This Row],[Status]],{"Late","Blocked","Due soon"},0),9)*100000+N(Tasks[[#This Row],[Due]]))</f>
        <v/>
      </c>
      <c r="O49" t="str" cm="1">
        <f t="array" aca="1" ref="O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" t="str" cm="1">
        <f t="array" ref="P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" t="str" cm="1">
        <f t="array" ref="Q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" t="str" cm="1">
        <f t="array" ref="R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" spans="1:18" x14ac:dyDescent="0.25">
      <c r="A50" s="14" t="str" cm="1">
        <f t="array" ref="A50">IF(Tasks[[#This Row],[Task]]="","","T-"&amp;TEXT(ROW()-ROW(Tasks[#Headers]),"000"))</f>
        <v/>
      </c>
      <c r="B50" s="15"/>
      <c r="C50" s="15"/>
      <c r="D50" s="15"/>
      <c r="E50" s="15"/>
      <c r="F50" s="16"/>
      <c r="G50" s="16"/>
      <c r="H50" s="16"/>
      <c r="I50" s="15"/>
      <c r="J50" s="15"/>
      <c r="K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" s="17" t="str">
        <f>IF(Tasks[[#This Row],[Task]]="","",IFERROR(VLOOKUP(IF(Tasks[[#This Row],[Effort]]="","M",Tasks[[#This Row],[Effort]]),EffortTable,2,FALSE),0))</f>
        <v/>
      </c>
      <c r="N50" t="str">
        <f>IF(Tasks[[#This Row],[Task]]="","",IFERROR(MATCH(Tasks[[#This Row],[Status]],{"Late","Blocked","Due soon"},0),9)*100000+N(Tasks[[#This Row],[Due]]))</f>
        <v/>
      </c>
      <c r="O50" t="str" cm="1">
        <f t="array" aca="1" ref="O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" t="str" cm="1">
        <f t="array" ref="P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" t="str" cm="1">
        <f t="array" ref="Q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" t="str" cm="1">
        <f t="array" ref="R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" spans="1:18" x14ac:dyDescent="0.25">
      <c r="A51" s="14" t="str" cm="1">
        <f t="array" ref="A51">IF(Tasks[[#This Row],[Task]]="","","T-"&amp;TEXT(ROW()-ROW(Tasks[#Headers]),"000"))</f>
        <v/>
      </c>
      <c r="B51" s="15"/>
      <c r="C51" s="15"/>
      <c r="D51" s="15"/>
      <c r="E51" s="15"/>
      <c r="F51" s="16"/>
      <c r="G51" s="16"/>
      <c r="H51" s="16"/>
      <c r="I51" s="15"/>
      <c r="J51" s="15"/>
      <c r="K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" s="17" t="str">
        <f>IF(Tasks[[#This Row],[Task]]="","",IFERROR(VLOOKUP(IF(Tasks[[#This Row],[Effort]]="","M",Tasks[[#This Row],[Effort]]),EffortTable,2,FALSE),0))</f>
        <v/>
      </c>
      <c r="N51" t="str">
        <f>IF(Tasks[[#This Row],[Task]]="","",IFERROR(MATCH(Tasks[[#This Row],[Status]],{"Late","Blocked","Due soon"},0),9)*100000+N(Tasks[[#This Row],[Due]]))</f>
        <v/>
      </c>
      <c r="O51" t="str" cm="1">
        <f t="array" aca="1" ref="O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" t="str" cm="1">
        <f t="array" ref="P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" t="str" cm="1">
        <f t="array" ref="Q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" t="str" cm="1">
        <f t="array" ref="R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" spans="1:18" x14ac:dyDescent="0.25">
      <c r="A52" s="14" t="str" cm="1">
        <f t="array" ref="A52">IF(Tasks[[#This Row],[Task]]="","","T-"&amp;TEXT(ROW()-ROW(Tasks[#Headers]),"000"))</f>
        <v/>
      </c>
      <c r="B52" s="15"/>
      <c r="C52" s="15"/>
      <c r="D52" s="15"/>
      <c r="E52" s="15"/>
      <c r="F52" s="16"/>
      <c r="G52" s="16"/>
      <c r="H52" s="16"/>
      <c r="I52" s="15"/>
      <c r="J52" s="15"/>
      <c r="K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" s="17" t="str">
        <f>IF(Tasks[[#This Row],[Task]]="","",IFERROR(VLOOKUP(IF(Tasks[[#This Row],[Effort]]="","M",Tasks[[#This Row],[Effort]]),EffortTable,2,FALSE),0))</f>
        <v/>
      </c>
      <c r="N52" t="str">
        <f>IF(Tasks[[#This Row],[Task]]="","",IFERROR(MATCH(Tasks[[#This Row],[Status]],{"Late","Blocked","Due soon"},0),9)*100000+N(Tasks[[#This Row],[Due]]))</f>
        <v/>
      </c>
      <c r="O52" t="str" cm="1">
        <f t="array" aca="1" ref="O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" t="str" cm="1">
        <f t="array" ref="P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" t="str" cm="1">
        <f t="array" ref="Q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" t="str" cm="1">
        <f t="array" ref="R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" spans="1:18" x14ac:dyDescent="0.25">
      <c r="A53" s="14" t="str" cm="1">
        <f t="array" ref="A53">IF(Tasks[[#This Row],[Task]]="","","T-"&amp;TEXT(ROW()-ROW(Tasks[#Headers]),"000"))</f>
        <v/>
      </c>
      <c r="B53" s="15"/>
      <c r="C53" s="15"/>
      <c r="D53" s="15"/>
      <c r="E53" s="15"/>
      <c r="F53" s="16"/>
      <c r="G53" s="16"/>
      <c r="H53" s="16"/>
      <c r="I53" s="15"/>
      <c r="J53" s="15"/>
      <c r="K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" s="17" t="str">
        <f>IF(Tasks[[#This Row],[Task]]="","",IFERROR(VLOOKUP(IF(Tasks[[#This Row],[Effort]]="","M",Tasks[[#This Row],[Effort]]),EffortTable,2,FALSE),0))</f>
        <v/>
      </c>
      <c r="N53" t="str">
        <f>IF(Tasks[[#This Row],[Task]]="","",IFERROR(MATCH(Tasks[[#This Row],[Status]],{"Late","Blocked","Due soon"},0),9)*100000+N(Tasks[[#This Row],[Due]]))</f>
        <v/>
      </c>
      <c r="O53" t="str" cm="1">
        <f t="array" aca="1" ref="O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" t="str" cm="1">
        <f t="array" ref="P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" t="str" cm="1">
        <f t="array" ref="Q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" t="str" cm="1">
        <f t="array" ref="R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" spans="1:18" x14ac:dyDescent="0.25">
      <c r="A54" s="14" t="str" cm="1">
        <f t="array" ref="A54">IF(Tasks[[#This Row],[Task]]="","","T-"&amp;TEXT(ROW()-ROW(Tasks[#Headers]),"000"))</f>
        <v/>
      </c>
      <c r="B54" s="15"/>
      <c r="C54" s="15"/>
      <c r="D54" s="15"/>
      <c r="E54" s="15"/>
      <c r="F54" s="16"/>
      <c r="G54" s="16"/>
      <c r="H54" s="16"/>
      <c r="I54" s="15"/>
      <c r="J54" s="15"/>
      <c r="K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" s="17" t="str">
        <f>IF(Tasks[[#This Row],[Task]]="","",IFERROR(VLOOKUP(IF(Tasks[[#This Row],[Effort]]="","M",Tasks[[#This Row],[Effort]]),EffortTable,2,FALSE),0))</f>
        <v/>
      </c>
      <c r="N54" t="str">
        <f>IF(Tasks[[#This Row],[Task]]="","",IFERROR(MATCH(Tasks[[#This Row],[Status]],{"Late","Blocked","Due soon"},0),9)*100000+N(Tasks[[#This Row],[Due]]))</f>
        <v/>
      </c>
      <c r="O54" t="str" cm="1">
        <f t="array" aca="1" ref="O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" t="str" cm="1">
        <f t="array" ref="P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" t="str" cm="1">
        <f t="array" ref="Q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" t="str" cm="1">
        <f t="array" ref="R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" spans="1:18" x14ac:dyDescent="0.25">
      <c r="A55" s="14" t="str" cm="1">
        <f t="array" ref="A55">IF(Tasks[[#This Row],[Task]]="","","T-"&amp;TEXT(ROW()-ROW(Tasks[#Headers]),"000"))</f>
        <v/>
      </c>
      <c r="B55" s="15"/>
      <c r="C55" s="15"/>
      <c r="D55" s="15"/>
      <c r="E55" s="15"/>
      <c r="F55" s="16"/>
      <c r="G55" s="16"/>
      <c r="H55" s="16"/>
      <c r="I55" s="15"/>
      <c r="J55" s="15"/>
      <c r="K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" s="17" t="str">
        <f>IF(Tasks[[#This Row],[Task]]="","",IFERROR(VLOOKUP(IF(Tasks[[#This Row],[Effort]]="","M",Tasks[[#This Row],[Effort]]),EffortTable,2,FALSE),0))</f>
        <v/>
      </c>
      <c r="N55" t="str">
        <f>IF(Tasks[[#This Row],[Task]]="","",IFERROR(MATCH(Tasks[[#This Row],[Status]],{"Late","Blocked","Due soon"},0),9)*100000+N(Tasks[[#This Row],[Due]]))</f>
        <v/>
      </c>
      <c r="O55" t="str" cm="1">
        <f t="array" aca="1" ref="O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" t="str" cm="1">
        <f t="array" ref="P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" t="str" cm="1">
        <f t="array" ref="Q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" t="str" cm="1">
        <f t="array" ref="R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" spans="1:18" x14ac:dyDescent="0.25">
      <c r="A56" s="14" t="str" cm="1">
        <f t="array" ref="A56">IF(Tasks[[#This Row],[Task]]="","","T-"&amp;TEXT(ROW()-ROW(Tasks[#Headers]),"000"))</f>
        <v/>
      </c>
      <c r="B56" s="15"/>
      <c r="C56" s="15"/>
      <c r="D56" s="15"/>
      <c r="E56" s="15"/>
      <c r="F56" s="16"/>
      <c r="G56" s="16"/>
      <c r="H56" s="16"/>
      <c r="I56" s="15"/>
      <c r="J56" s="15"/>
      <c r="K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" s="17" t="str">
        <f>IF(Tasks[[#This Row],[Task]]="","",IFERROR(VLOOKUP(IF(Tasks[[#This Row],[Effort]]="","M",Tasks[[#This Row],[Effort]]),EffortTable,2,FALSE),0))</f>
        <v/>
      </c>
      <c r="N56" t="str">
        <f>IF(Tasks[[#This Row],[Task]]="","",IFERROR(MATCH(Tasks[[#This Row],[Status]],{"Late","Blocked","Due soon"},0),9)*100000+N(Tasks[[#This Row],[Due]]))</f>
        <v/>
      </c>
      <c r="O56" t="str" cm="1">
        <f t="array" aca="1" ref="O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" t="str" cm="1">
        <f t="array" ref="P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" t="str" cm="1">
        <f t="array" ref="Q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" t="str" cm="1">
        <f t="array" ref="R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" spans="1:18" x14ac:dyDescent="0.25">
      <c r="A57" s="14" t="str" cm="1">
        <f t="array" ref="A57">IF(Tasks[[#This Row],[Task]]="","","T-"&amp;TEXT(ROW()-ROW(Tasks[#Headers]),"000"))</f>
        <v/>
      </c>
      <c r="B57" s="15"/>
      <c r="C57" s="15"/>
      <c r="D57" s="15"/>
      <c r="E57" s="15"/>
      <c r="F57" s="16"/>
      <c r="G57" s="16"/>
      <c r="H57" s="16"/>
      <c r="I57" s="15"/>
      <c r="J57" s="15"/>
      <c r="K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" s="17" t="str">
        <f>IF(Tasks[[#This Row],[Task]]="","",IFERROR(VLOOKUP(IF(Tasks[[#This Row],[Effort]]="","M",Tasks[[#This Row],[Effort]]),EffortTable,2,FALSE),0))</f>
        <v/>
      </c>
      <c r="N57" t="str">
        <f>IF(Tasks[[#This Row],[Task]]="","",IFERROR(MATCH(Tasks[[#This Row],[Status]],{"Late","Blocked","Due soon"},0),9)*100000+N(Tasks[[#This Row],[Due]]))</f>
        <v/>
      </c>
      <c r="O57" t="str" cm="1">
        <f t="array" aca="1" ref="O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" t="str" cm="1">
        <f t="array" ref="P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" t="str" cm="1">
        <f t="array" ref="Q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" t="str" cm="1">
        <f t="array" ref="R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" spans="1:18" x14ac:dyDescent="0.25">
      <c r="A58" s="14" t="str" cm="1">
        <f t="array" ref="A58">IF(Tasks[[#This Row],[Task]]="","","T-"&amp;TEXT(ROW()-ROW(Tasks[#Headers]),"000"))</f>
        <v/>
      </c>
      <c r="B58" s="15"/>
      <c r="C58" s="15"/>
      <c r="D58" s="15"/>
      <c r="E58" s="15"/>
      <c r="F58" s="16"/>
      <c r="G58" s="16"/>
      <c r="H58" s="16"/>
      <c r="I58" s="15"/>
      <c r="J58" s="15"/>
      <c r="K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" s="17" t="str">
        <f>IF(Tasks[[#This Row],[Task]]="","",IFERROR(VLOOKUP(IF(Tasks[[#This Row],[Effort]]="","M",Tasks[[#This Row],[Effort]]),EffortTable,2,FALSE),0))</f>
        <v/>
      </c>
      <c r="N58" t="str">
        <f>IF(Tasks[[#This Row],[Task]]="","",IFERROR(MATCH(Tasks[[#This Row],[Status]],{"Late","Blocked","Due soon"},0),9)*100000+N(Tasks[[#This Row],[Due]]))</f>
        <v/>
      </c>
      <c r="O58" t="str" cm="1">
        <f t="array" aca="1" ref="O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" t="str" cm="1">
        <f t="array" ref="P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" t="str" cm="1">
        <f t="array" ref="Q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" t="str" cm="1">
        <f t="array" ref="R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" spans="1:18" x14ac:dyDescent="0.25">
      <c r="A59" s="14" t="str" cm="1">
        <f t="array" ref="A59">IF(Tasks[[#This Row],[Task]]="","","T-"&amp;TEXT(ROW()-ROW(Tasks[#Headers]),"000"))</f>
        <v/>
      </c>
      <c r="B59" s="15"/>
      <c r="C59" s="15"/>
      <c r="D59" s="15"/>
      <c r="E59" s="15"/>
      <c r="F59" s="16"/>
      <c r="G59" s="16"/>
      <c r="H59" s="16"/>
      <c r="I59" s="15"/>
      <c r="J59" s="15"/>
      <c r="K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" s="17" t="str">
        <f>IF(Tasks[[#This Row],[Task]]="","",IFERROR(VLOOKUP(IF(Tasks[[#This Row],[Effort]]="","M",Tasks[[#This Row],[Effort]]),EffortTable,2,FALSE),0))</f>
        <v/>
      </c>
      <c r="N59" t="str">
        <f>IF(Tasks[[#This Row],[Task]]="","",IFERROR(MATCH(Tasks[[#This Row],[Status]],{"Late","Blocked","Due soon"},0),9)*100000+N(Tasks[[#This Row],[Due]]))</f>
        <v/>
      </c>
      <c r="O59" t="str" cm="1">
        <f t="array" aca="1" ref="O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" t="str" cm="1">
        <f t="array" ref="P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" t="str" cm="1">
        <f t="array" ref="Q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" t="str" cm="1">
        <f t="array" ref="R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" spans="1:18" x14ac:dyDescent="0.25">
      <c r="A60" s="14" t="str" cm="1">
        <f t="array" ref="A60">IF(Tasks[[#This Row],[Task]]="","","T-"&amp;TEXT(ROW()-ROW(Tasks[#Headers]),"000"))</f>
        <v/>
      </c>
      <c r="B60" s="15"/>
      <c r="C60" s="15"/>
      <c r="D60" s="15"/>
      <c r="E60" s="15"/>
      <c r="F60" s="16"/>
      <c r="G60" s="16"/>
      <c r="H60" s="16"/>
      <c r="I60" s="15"/>
      <c r="J60" s="15"/>
      <c r="K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" s="17" t="str">
        <f>IF(Tasks[[#This Row],[Task]]="","",IFERROR(VLOOKUP(IF(Tasks[[#This Row],[Effort]]="","M",Tasks[[#This Row],[Effort]]),EffortTable,2,FALSE),0))</f>
        <v/>
      </c>
      <c r="N60" t="str">
        <f>IF(Tasks[[#This Row],[Task]]="","",IFERROR(MATCH(Tasks[[#This Row],[Status]],{"Late","Blocked","Due soon"},0),9)*100000+N(Tasks[[#This Row],[Due]]))</f>
        <v/>
      </c>
      <c r="O60" t="str" cm="1">
        <f t="array" aca="1" ref="O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" t="str" cm="1">
        <f t="array" ref="P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" t="str" cm="1">
        <f t="array" ref="Q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" t="str" cm="1">
        <f t="array" ref="R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" spans="1:18" x14ac:dyDescent="0.25">
      <c r="A61" s="14" t="str" cm="1">
        <f t="array" ref="A61">IF(Tasks[[#This Row],[Task]]="","","T-"&amp;TEXT(ROW()-ROW(Tasks[#Headers]),"000"))</f>
        <v/>
      </c>
      <c r="B61" s="15"/>
      <c r="C61" s="15"/>
      <c r="D61" s="15"/>
      <c r="E61" s="15"/>
      <c r="F61" s="16"/>
      <c r="G61" s="16"/>
      <c r="H61" s="16"/>
      <c r="I61" s="15"/>
      <c r="J61" s="15"/>
      <c r="K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" s="17" t="str">
        <f>IF(Tasks[[#This Row],[Task]]="","",IFERROR(VLOOKUP(IF(Tasks[[#This Row],[Effort]]="","M",Tasks[[#This Row],[Effort]]),EffortTable,2,FALSE),0))</f>
        <v/>
      </c>
      <c r="N61" t="str">
        <f>IF(Tasks[[#This Row],[Task]]="","",IFERROR(MATCH(Tasks[[#This Row],[Status]],{"Late","Blocked","Due soon"},0),9)*100000+N(Tasks[[#This Row],[Due]]))</f>
        <v/>
      </c>
      <c r="O61" t="str" cm="1">
        <f t="array" aca="1" ref="O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" t="str" cm="1">
        <f t="array" ref="P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" t="str" cm="1">
        <f t="array" ref="Q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" t="str" cm="1">
        <f t="array" ref="R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" spans="1:18" x14ac:dyDescent="0.25">
      <c r="A62" s="14" t="str" cm="1">
        <f t="array" ref="A62">IF(Tasks[[#This Row],[Task]]="","","T-"&amp;TEXT(ROW()-ROW(Tasks[#Headers]),"000"))</f>
        <v/>
      </c>
      <c r="B62" s="15"/>
      <c r="C62" s="15"/>
      <c r="D62" s="15"/>
      <c r="E62" s="15"/>
      <c r="F62" s="16"/>
      <c r="G62" s="16"/>
      <c r="H62" s="16"/>
      <c r="I62" s="15"/>
      <c r="J62" s="15"/>
      <c r="K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" s="17" t="str">
        <f>IF(Tasks[[#This Row],[Task]]="","",IFERROR(VLOOKUP(IF(Tasks[[#This Row],[Effort]]="","M",Tasks[[#This Row],[Effort]]),EffortTable,2,FALSE),0))</f>
        <v/>
      </c>
      <c r="N62" t="str">
        <f>IF(Tasks[[#This Row],[Task]]="","",IFERROR(MATCH(Tasks[[#This Row],[Status]],{"Late","Blocked","Due soon"},0),9)*100000+N(Tasks[[#This Row],[Due]]))</f>
        <v/>
      </c>
      <c r="O62" t="str" cm="1">
        <f t="array" aca="1" ref="O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" t="str" cm="1">
        <f t="array" ref="P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" t="str" cm="1">
        <f t="array" ref="Q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" t="str" cm="1">
        <f t="array" ref="R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" spans="1:18" x14ac:dyDescent="0.25">
      <c r="A63" s="14" t="str" cm="1">
        <f t="array" ref="A63">IF(Tasks[[#This Row],[Task]]="","","T-"&amp;TEXT(ROW()-ROW(Tasks[#Headers]),"000"))</f>
        <v/>
      </c>
      <c r="B63" s="15"/>
      <c r="C63" s="15"/>
      <c r="D63" s="15"/>
      <c r="E63" s="15"/>
      <c r="F63" s="16"/>
      <c r="G63" s="16"/>
      <c r="H63" s="16"/>
      <c r="I63" s="15"/>
      <c r="J63" s="15"/>
      <c r="K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" s="17" t="str">
        <f>IF(Tasks[[#This Row],[Task]]="","",IFERROR(VLOOKUP(IF(Tasks[[#This Row],[Effort]]="","M",Tasks[[#This Row],[Effort]]),EffortTable,2,FALSE),0))</f>
        <v/>
      </c>
      <c r="N63" t="str">
        <f>IF(Tasks[[#This Row],[Task]]="","",IFERROR(MATCH(Tasks[[#This Row],[Status]],{"Late","Blocked","Due soon"},0),9)*100000+N(Tasks[[#This Row],[Due]]))</f>
        <v/>
      </c>
      <c r="O63" t="str" cm="1">
        <f t="array" aca="1" ref="O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" t="str" cm="1">
        <f t="array" ref="P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" t="str" cm="1">
        <f t="array" ref="Q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" t="str" cm="1">
        <f t="array" ref="R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" spans="1:18" x14ac:dyDescent="0.25">
      <c r="A64" s="14" t="str" cm="1">
        <f t="array" ref="A64">IF(Tasks[[#This Row],[Task]]="","","T-"&amp;TEXT(ROW()-ROW(Tasks[#Headers]),"000"))</f>
        <v/>
      </c>
      <c r="B64" s="15"/>
      <c r="C64" s="15"/>
      <c r="D64" s="15"/>
      <c r="E64" s="15"/>
      <c r="F64" s="16"/>
      <c r="G64" s="16"/>
      <c r="H64" s="16"/>
      <c r="I64" s="15"/>
      <c r="J64" s="15"/>
      <c r="K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" s="17" t="str">
        <f>IF(Tasks[[#This Row],[Task]]="","",IFERROR(VLOOKUP(IF(Tasks[[#This Row],[Effort]]="","M",Tasks[[#This Row],[Effort]]),EffortTable,2,FALSE),0))</f>
        <v/>
      </c>
      <c r="N64" t="str">
        <f>IF(Tasks[[#This Row],[Task]]="","",IFERROR(MATCH(Tasks[[#This Row],[Status]],{"Late","Blocked","Due soon"},0),9)*100000+N(Tasks[[#This Row],[Due]]))</f>
        <v/>
      </c>
      <c r="O64" t="str" cm="1">
        <f t="array" aca="1" ref="O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" t="str" cm="1">
        <f t="array" ref="P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" t="str" cm="1">
        <f t="array" ref="Q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" t="str" cm="1">
        <f t="array" ref="R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" spans="1:18" x14ac:dyDescent="0.25">
      <c r="A65" s="14" t="str" cm="1">
        <f t="array" ref="A65">IF(Tasks[[#This Row],[Task]]="","","T-"&amp;TEXT(ROW()-ROW(Tasks[#Headers]),"000"))</f>
        <v/>
      </c>
      <c r="B65" s="15"/>
      <c r="C65" s="15"/>
      <c r="D65" s="15"/>
      <c r="E65" s="15"/>
      <c r="F65" s="16"/>
      <c r="G65" s="16"/>
      <c r="H65" s="16"/>
      <c r="I65" s="15"/>
      <c r="J65" s="15"/>
      <c r="K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" s="17" t="str">
        <f>IF(Tasks[[#This Row],[Task]]="","",IFERROR(VLOOKUP(IF(Tasks[[#This Row],[Effort]]="","M",Tasks[[#This Row],[Effort]]),EffortTable,2,FALSE),0))</f>
        <v/>
      </c>
      <c r="N65" t="str">
        <f>IF(Tasks[[#This Row],[Task]]="","",IFERROR(MATCH(Tasks[[#This Row],[Status]],{"Late","Blocked","Due soon"},0),9)*100000+N(Tasks[[#This Row],[Due]]))</f>
        <v/>
      </c>
      <c r="O65" t="str" cm="1">
        <f t="array" aca="1" ref="O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" t="str" cm="1">
        <f t="array" ref="P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" t="str" cm="1">
        <f t="array" ref="Q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" t="str" cm="1">
        <f t="array" ref="R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" spans="1:18" x14ac:dyDescent="0.25">
      <c r="A66" s="14" t="str" cm="1">
        <f t="array" ref="A66">IF(Tasks[[#This Row],[Task]]="","","T-"&amp;TEXT(ROW()-ROW(Tasks[#Headers]),"000"))</f>
        <v/>
      </c>
      <c r="B66" s="15"/>
      <c r="C66" s="15"/>
      <c r="D66" s="15"/>
      <c r="E66" s="15"/>
      <c r="F66" s="16"/>
      <c r="G66" s="16"/>
      <c r="H66" s="16"/>
      <c r="I66" s="15"/>
      <c r="J66" s="15"/>
      <c r="K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" s="17" t="str">
        <f>IF(Tasks[[#This Row],[Task]]="","",IFERROR(VLOOKUP(IF(Tasks[[#This Row],[Effort]]="","M",Tasks[[#This Row],[Effort]]),EffortTable,2,FALSE),0))</f>
        <v/>
      </c>
      <c r="N66" t="str">
        <f>IF(Tasks[[#This Row],[Task]]="","",IFERROR(MATCH(Tasks[[#This Row],[Status]],{"Late","Blocked","Due soon"},0),9)*100000+N(Tasks[[#This Row],[Due]]))</f>
        <v/>
      </c>
      <c r="O66" t="str" cm="1">
        <f t="array" aca="1" ref="O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" t="str" cm="1">
        <f t="array" ref="P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" t="str" cm="1">
        <f t="array" ref="Q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" t="str" cm="1">
        <f t="array" ref="R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" spans="1:18" x14ac:dyDescent="0.25">
      <c r="A67" s="14" t="str" cm="1">
        <f t="array" ref="A67">IF(Tasks[[#This Row],[Task]]="","","T-"&amp;TEXT(ROW()-ROW(Tasks[#Headers]),"000"))</f>
        <v/>
      </c>
      <c r="B67" s="15"/>
      <c r="C67" s="15"/>
      <c r="D67" s="15"/>
      <c r="E67" s="15"/>
      <c r="F67" s="16"/>
      <c r="G67" s="16"/>
      <c r="H67" s="16"/>
      <c r="I67" s="15"/>
      <c r="J67" s="15"/>
      <c r="K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" s="17" t="str">
        <f>IF(Tasks[[#This Row],[Task]]="","",IFERROR(VLOOKUP(IF(Tasks[[#This Row],[Effort]]="","M",Tasks[[#This Row],[Effort]]),EffortTable,2,FALSE),0))</f>
        <v/>
      </c>
      <c r="N67" t="str">
        <f>IF(Tasks[[#This Row],[Task]]="","",IFERROR(MATCH(Tasks[[#This Row],[Status]],{"Late","Blocked","Due soon"},0),9)*100000+N(Tasks[[#This Row],[Due]]))</f>
        <v/>
      </c>
      <c r="O67" t="str" cm="1">
        <f t="array" aca="1" ref="O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" t="str" cm="1">
        <f t="array" ref="P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" t="str" cm="1">
        <f t="array" ref="Q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" t="str" cm="1">
        <f t="array" ref="R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" spans="1:18" x14ac:dyDescent="0.25">
      <c r="A68" s="14" t="str" cm="1">
        <f t="array" ref="A68">IF(Tasks[[#This Row],[Task]]="","","T-"&amp;TEXT(ROW()-ROW(Tasks[#Headers]),"000"))</f>
        <v/>
      </c>
      <c r="B68" s="15"/>
      <c r="C68" s="15"/>
      <c r="D68" s="15"/>
      <c r="E68" s="15"/>
      <c r="F68" s="16"/>
      <c r="G68" s="16"/>
      <c r="H68" s="16"/>
      <c r="I68" s="15"/>
      <c r="J68" s="15"/>
      <c r="K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" s="17" t="str">
        <f>IF(Tasks[[#This Row],[Task]]="","",IFERROR(VLOOKUP(IF(Tasks[[#This Row],[Effort]]="","M",Tasks[[#This Row],[Effort]]),EffortTable,2,FALSE),0))</f>
        <v/>
      </c>
      <c r="N68" t="str">
        <f>IF(Tasks[[#This Row],[Task]]="","",IFERROR(MATCH(Tasks[[#This Row],[Status]],{"Late","Blocked","Due soon"},0),9)*100000+N(Tasks[[#This Row],[Due]]))</f>
        <v/>
      </c>
      <c r="O68" t="str" cm="1">
        <f t="array" aca="1" ref="O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" t="str" cm="1">
        <f t="array" ref="P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" t="str" cm="1">
        <f t="array" ref="Q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" t="str" cm="1">
        <f t="array" ref="R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" spans="1:18" x14ac:dyDescent="0.25">
      <c r="A69" s="14" t="str" cm="1">
        <f t="array" ref="A69">IF(Tasks[[#This Row],[Task]]="","","T-"&amp;TEXT(ROW()-ROW(Tasks[#Headers]),"000"))</f>
        <v/>
      </c>
      <c r="B69" s="15"/>
      <c r="C69" s="15"/>
      <c r="D69" s="15"/>
      <c r="E69" s="15"/>
      <c r="F69" s="16"/>
      <c r="G69" s="16"/>
      <c r="H69" s="16"/>
      <c r="I69" s="15"/>
      <c r="J69" s="15"/>
      <c r="K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" s="17" t="str">
        <f>IF(Tasks[[#This Row],[Task]]="","",IFERROR(VLOOKUP(IF(Tasks[[#This Row],[Effort]]="","M",Tasks[[#This Row],[Effort]]),EffortTable,2,FALSE),0))</f>
        <v/>
      </c>
      <c r="N69" t="str">
        <f>IF(Tasks[[#This Row],[Task]]="","",IFERROR(MATCH(Tasks[[#This Row],[Status]],{"Late","Blocked","Due soon"},0),9)*100000+N(Tasks[[#This Row],[Due]]))</f>
        <v/>
      </c>
      <c r="O69" t="str" cm="1">
        <f t="array" aca="1" ref="O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" t="str" cm="1">
        <f t="array" ref="P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" t="str" cm="1">
        <f t="array" ref="Q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" t="str" cm="1">
        <f t="array" ref="R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" spans="1:18" x14ac:dyDescent="0.25">
      <c r="A70" s="14" t="str" cm="1">
        <f t="array" ref="A70">IF(Tasks[[#This Row],[Task]]="","","T-"&amp;TEXT(ROW()-ROW(Tasks[#Headers]),"000"))</f>
        <v/>
      </c>
      <c r="B70" s="15"/>
      <c r="C70" s="15"/>
      <c r="D70" s="15"/>
      <c r="E70" s="15"/>
      <c r="F70" s="16"/>
      <c r="G70" s="16"/>
      <c r="H70" s="16"/>
      <c r="I70" s="15"/>
      <c r="J70" s="15"/>
      <c r="K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" s="17" t="str">
        <f>IF(Tasks[[#This Row],[Task]]="","",IFERROR(VLOOKUP(IF(Tasks[[#This Row],[Effort]]="","M",Tasks[[#This Row],[Effort]]),EffortTable,2,FALSE),0))</f>
        <v/>
      </c>
      <c r="N70" t="str">
        <f>IF(Tasks[[#This Row],[Task]]="","",IFERROR(MATCH(Tasks[[#This Row],[Status]],{"Late","Blocked","Due soon"},0),9)*100000+N(Tasks[[#This Row],[Due]]))</f>
        <v/>
      </c>
      <c r="O70" t="str" cm="1">
        <f t="array" aca="1" ref="O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" t="str" cm="1">
        <f t="array" ref="P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" t="str" cm="1">
        <f t="array" ref="Q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" t="str" cm="1">
        <f t="array" ref="R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" spans="1:18" x14ac:dyDescent="0.25">
      <c r="A71" s="14" t="str" cm="1">
        <f t="array" ref="A71">IF(Tasks[[#This Row],[Task]]="","","T-"&amp;TEXT(ROW()-ROW(Tasks[#Headers]),"000"))</f>
        <v/>
      </c>
      <c r="B71" s="15"/>
      <c r="C71" s="15"/>
      <c r="D71" s="15"/>
      <c r="E71" s="15"/>
      <c r="F71" s="16"/>
      <c r="G71" s="16"/>
      <c r="H71" s="16"/>
      <c r="I71" s="15"/>
      <c r="J71" s="15"/>
      <c r="K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" s="17" t="str">
        <f>IF(Tasks[[#This Row],[Task]]="","",IFERROR(VLOOKUP(IF(Tasks[[#This Row],[Effort]]="","M",Tasks[[#This Row],[Effort]]),EffortTable,2,FALSE),0))</f>
        <v/>
      </c>
      <c r="N71" t="str">
        <f>IF(Tasks[[#This Row],[Task]]="","",IFERROR(MATCH(Tasks[[#This Row],[Status]],{"Late","Blocked","Due soon"},0),9)*100000+N(Tasks[[#This Row],[Due]]))</f>
        <v/>
      </c>
      <c r="O71" t="str" cm="1">
        <f t="array" aca="1" ref="O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" t="str" cm="1">
        <f t="array" ref="P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" t="str" cm="1">
        <f t="array" ref="Q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" t="str" cm="1">
        <f t="array" ref="R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" spans="1:18" x14ac:dyDescent="0.25">
      <c r="A72" s="14" t="str" cm="1">
        <f t="array" ref="A72">IF(Tasks[[#This Row],[Task]]="","","T-"&amp;TEXT(ROW()-ROW(Tasks[#Headers]),"000"))</f>
        <v/>
      </c>
      <c r="B72" s="15"/>
      <c r="C72" s="15"/>
      <c r="D72" s="15"/>
      <c r="E72" s="15"/>
      <c r="F72" s="16"/>
      <c r="G72" s="16"/>
      <c r="H72" s="16"/>
      <c r="I72" s="15"/>
      <c r="J72" s="15"/>
      <c r="K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" s="17" t="str">
        <f>IF(Tasks[[#This Row],[Task]]="","",IFERROR(VLOOKUP(IF(Tasks[[#This Row],[Effort]]="","M",Tasks[[#This Row],[Effort]]),EffortTable,2,FALSE),0))</f>
        <v/>
      </c>
      <c r="N72" t="str">
        <f>IF(Tasks[[#This Row],[Task]]="","",IFERROR(MATCH(Tasks[[#This Row],[Status]],{"Late","Blocked","Due soon"},0),9)*100000+N(Tasks[[#This Row],[Due]]))</f>
        <v/>
      </c>
      <c r="O72" t="str" cm="1">
        <f t="array" aca="1" ref="O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" t="str" cm="1">
        <f t="array" ref="P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" t="str" cm="1">
        <f t="array" ref="Q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" t="str" cm="1">
        <f t="array" ref="R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" spans="1:18" x14ac:dyDescent="0.25">
      <c r="A73" s="14" t="str" cm="1">
        <f t="array" ref="A73">IF(Tasks[[#This Row],[Task]]="","","T-"&amp;TEXT(ROW()-ROW(Tasks[#Headers]),"000"))</f>
        <v/>
      </c>
      <c r="B73" s="15"/>
      <c r="C73" s="15"/>
      <c r="D73" s="15"/>
      <c r="E73" s="15"/>
      <c r="F73" s="16"/>
      <c r="G73" s="16"/>
      <c r="H73" s="16"/>
      <c r="I73" s="15"/>
      <c r="J73" s="15"/>
      <c r="K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" s="17" t="str">
        <f>IF(Tasks[[#This Row],[Task]]="","",IFERROR(VLOOKUP(IF(Tasks[[#This Row],[Effort]]="","M",Tasks[[#This Row],[Effort]]),EffortTable,2,FALSE),0))</f>
        <v/>
      </c>
      <c r="N73" t="str">
        <f>IF(Tasks[[#This Row],[Task]]="","",IFERROR(MATCH(Tasks[[#This Row],[Status]],{"Late","Blocked","Due soon"},0),9)*100000+N(Tasks[[#This Row],[Due]]))</f>
        <v/>
      </c>
      <c r="O73" t="str" cm="1">
        <f t="array" aca="1" ref="O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" t="str" cm="1">
        <f t="array" ref="P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" t="str" cm="1">
        <f t="array" ref="Q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" t="str" cm="1">
        <f t="array" ref="R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" spans="1:18" x14ac:dyDescent="0.25">
      <c r="A74" s="14" t="str" cm="1">
        <f t="array" ref="A74">IF(Tasks[[#This Row],[Task]]="","","T-"&amp;TEXT(ROW()-ROW(Tasks[#Headers]),"000"))</f>
        <v/>
      </c>
      <c r="B74" s="15"/>
      <c r="C74" s="15"/>
      <c r="D74" s="15"/>
      <c r="E74" s="15"/>
      <c r="F74" s="16"/>
      <c r="G74" s="16"/>
      <c r="H74" s="16"/>
      <c r="I74" s="15"/>
      <c r="J74" s="15"/>
      <c r="K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" s="17" t="str">
        <f>IF(Tasks[[#This Row],[Task]]="","",IFERROR(VLOOKUP(IF(Tasks[[#This Row],[Effort]]="","M",Tasks[[#This Row],[Effort]]),EffortTable,2,FALSE),0))</f>
        <v/>
      </c>
      <c r="N74" t="str">
        <f>IF(Tasks[[#This Row],[Task]]="","",IFERROR(MATCH(Tasks[[#This Row],[Status]],{"Late","Blocked","Due soon"},0),9)*100000+N(Tasks[[#This Row],[Due]]))</f>
        <v/>
      </c>
      <c r="O74" t="str" cm="1">
        <f t="array" aca="1" ref="O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" t="str" cm="1">
        <f t="array" ref="P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" t="str" cm="1">
        <f t="array" ref="Q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" t="str" cm="1">
        <f t="array" ref="R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" spans="1:18" x14ac:dyDescent="0.25">
      <c r="A75" s="14" t="str" cm="1">
        <f t="array" ref="A75">IF(Tasks[[#This Row],[Task]]="","","T-"&amp;TEXT(ROW()-ROW(Tasks[#Headers]),"000"))</f>
        <v/>
      </c>
      <c r="B75" s="15"/>
      <c r="C75" s="15"/>
      <c r="D75" s="15"/>
      <c r="E75" s="15"/>
      <c r="F75" s="16"/>
      <c r="G75" s="16"/>
      <c r="H75" s="16"/>
      <c r="I75" s="15"/>
      <c r="J75" s="15"/>
      <c r="K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" s="17" t="str">
        <f>IF(Tasks[[#This Row],[Task]]="","",IFERROR(VLOOKUP(IF(Tasks[[#This Row],[Effort]]="","M",Tasks[[#This Row],[Effort]]),EffortTable,2,FALSE),0))</f>
        <v/>
      </c>
      <c r="N75" t="str">
        <f>IF(Tasks[[#This Row],[Task]]="","",IFERROR(MATCH(Tasks[[#This Row],[Status]],{"Late","Blocked","Due soon"},0),9)*100000+N(Tasks[[#This Row],[Due]]))</f>
        <v/>
      </c>
      <c r="O75" t="str" cm="1">
        <f t="array" aca="1" ref="O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" t="str" cm="1">
        <f t="array" ref="P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" t="str" cm="1">
        <f t="array" ref="Q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" t="str" cm="1">
        <f t="array" ref="R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" spans="1:18" x14ac:dyDescent="0.25">
      <c r="A76" s="14" t="str" cm="1">
        <f t="array" ref="A76">IF(Tasks[[#This Row],[Task]]="","","T-"&amp;TEXT(ROW()-ROW(Tasks[#Headers]),"000"))</f>
        <v/>
      </c>
      <c r="B76" s="15"/>
      <c r="C76" s="15"/>
      <c r="D76" s="15"/>
      <c r="E76" s="15"/>
      <c r="F76" s="16"/>
      <c r="G76" s="16"/>
      <c r="H76" s="16"/>
      <c r="I76" s="15"/>
      <c r="J76" s="15"/>
      <c r="K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" s="17" t="str">
        <f>IF(Tasks[[#This Row],[Task]]="","",IFERROR(VLOOKUP(IF(Tasks[[#This Row],[Effort]]="","M",Tasks[[#This Row],[Effort]]),EffortTable,2,FALSE),0))</f>
        <v/>
      </c>
      <c r="N76" t="str">
        <f>IF(Tasks[[#This Row],[Task]]="","",IFERROR(MATCH(Tasks[[#This Row],[Status]],{"Late","Blocked","Due soon"},0),9)*100000+N(Tasks[[#This Row],[Due]]))</f>
        <v/>
      </c>
      <c r="O76" t="str" cm="1">
        <f t="array" aca="1" ref="O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" t="str" cm="1">
        <f t="array" ref="P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" t="str" cm="1">
        <f t="array" ref="Q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" t="str" cm="1">
        <f t="array" ref="R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" spans="1:18" x14ac:dyDescent="0.25">
      <c r="A77" s="14" t="str" cm="1">
        <f t="array" ref="A77">IF(Tasks[[#This Row],[Task]]="","","T-"&amp;TEXT(ROW()-ROW(Tasks[#Headers]),"000"))</f>
        <v/>
      </c>
      <c r="B77" s="15"/>
      <c r="C77" s="15"/>
      <c r="D77" s="15"/>
      <c r="E77" s="15"/>
      <c r="F77" s="16"/>
      <c r="G77" s="16"/>
      <c r="H77" s="16"/>
      <c r="I77" s="15"/>
      <c r="J77" s="15"/>
      <c r="K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" s="17" t="str">
        <f>IF(Tasks[[#This Row],[Task]]="","",IFERROR(VLOOKUP(IF(Tasks[[#This Row],[Effort]]="","M",Tasks[[#This Row],[Effort]]),EffortTable,2,FALSE),0))</f>
        <v/>
      </c>
      <c r="N77" t="str">
        <f>IF(Tasks[[#This Row],[Task]]="","",IFERROR(MATCH(Tasks[[#This Row],[Status]],{"Late","Blocked","Due soon"},0),9)*100000+N(Tasks[[#This Row],[Due]]))</f>
        <v/>
      </c>
      <c r="O77" t="str" cm="1">
        <f t="array" aca="1" ref="O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" t="str" cm="1">
        <f t="array" ref="P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" t="str" cm="1">
        <f t="array" ref="Q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" t="str" cm="1">
        <f t="array" ref="R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" spans="1:18" x14ac:dyDescent="0.25">
      <c r="A78" s="14" t="str" cm="1">
        <f t="array" ref="A78">IF(Tasks[[#This Row],[Task]]="","","T-"&amp;TEXT(ROW()-ROW(Tasks[#Headers]),"000"))</f>
        <v/>
      </c>
      <c r="B78" s="15"/>
      <c r="C78" s="15"/>
      <c r="D78" s="15"/>
      <c r="E78" s="15"/>
      <c r="F78" s="16"/>
      <c r="G78" s="16"/>
      <c r="H78" s="16"/>
      <c r="I78" s="15"/>
      <c r="J78" s="15"/>
      <c r="K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" s="17" t="str">
        <f>IF(Tasks[[#This Row],[Task]]="","",IFERROR(VLOOKUP(IF(Tasks[[#This Row],[Effort]]="","M",Tasks[[#This Row],[Effort]]),EffortTable,2,FALSE),0))</f>
        <v/>
      </c>
      <c r="N78" t="str">
        <f>IF(Tasks[[#This Row],[Task]]="","",IFERROR(MATCH(Tasks[[#This Row],[Status]],{"Late","Blocked","Due soon"},0),9)*100000+N(Tasks[[#This Row],[Due]]))</f>
        <v/>
      </c>
      <c r="O78" t="str" cm="1">
        <f t="array" aca="1" ref="O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" t="str" cm="1">
        <f t="array" ref="P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" t="str" cm="1">
        <f t="array" ref="Q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" t="str" cm="1">
        <f t="array" ref="R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" spans="1:18" x14ac:dyDescent="0.25">
      <c r="A79" s="14" t="str" cm="1">
        <f t="array" ref="A79">IF(Tasks[[#This Row],[Task]]="","","T-"&amp;TEXT(ROW()-ROW(Tasks[#Headers]),"000"))</f>
        <v/>
      </c>
      <c r="B79" s="15"/>
      <c r="C79" s="15"/>
      <c r="D79" s="15"/>
      <c r="E79" s="15"/>
      <c r="F79" s="16"/>
      <c r="G79" s="16"/>
      <c r="H79" s="16"/>
      <c r="I79" s="15"/>
      <c r="J79" s="15"/>
      <c r="K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" s="17" t="str">
        <f>IF(Tasks[[#This Row],[Task]]="","",IFERROR(VLOOKUP(IF(Tasks[[#This Row],[Effort]]="","M",Tasks[[#This Row],[Effort]]),EffortTable,2,FALSE),0))</f>
        <v/>
      </c>
      <c r="N79" t="str">
        <f>IF(Tasks[[#This Row],[Task]]="","",IFERROR(MATCH(Tasks[[#This Row],[Status]],{"Late","Blocked","Due soon"},0),9)*100000+N(Tasks[[#This Row],[Due]]))</f>
        <v/>
      </c>
      <c r="O79" t="str" cm="1">
        <f t="array" aca="1" ref="O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" t="str" cm="1">
        <f t="array" ref="P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" t="str" cm="1">
        <f t="array" ref="Q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" t="str" cm="1">
        <f t="array" ref="R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" spans="1:18" x14ac:dyDescent="0.25">
      <c r="A80" s="14" t="str" cm="1">
        <f t="array" ref="A80">IF(Tasks[[#This Row],[Task]]="","","T-"&amp;TEXT(ROW()-ROW(Tasks[#Headers]),"000"))</f>
        <v/>
      </c>
      <c r="B80" s="15"/>
      <c r="C80" s="15"/>
      <c r="D80" s="15"/>
      <c r="E80" s="15"/>
      <c r="F80" s="16"/>
      <c r="G80" s="16"/>
      <c r="H80" s="16"/>
      <c r="I80" s="15"/>
      <c r="J80" s="15"/>
      <c r="K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" s="17" t="str">
        <f>IF(Tasks[[#This Row],[Task]]="","",IFERROR(VLOOKUP(IF(Tasks[[#This Row],[Effort]]="","M",Tasks[[#This Row],[Effort]]),EffortTable,2,FALSE),0))</f>
        <v/>
      </c>
      <c r="N80" t="str">
        <f>IF(Tasks[[#This Row],[Task]]="","",IFERROR(MATCH(Tasks[[#This Row],[Status]],{"Late","Blocked","Due soon"},0),9)*100000+N(Tasks[[#This Row],[Due]]))</f>
        <v/>
      </c>
      <c r="O80" t="str" cm="1">
        <f t="array" aca="1" ref="O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" t="str" cm="1">
        <f t="array" ref="P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" t="str" cm="1">
        <f t="array" ref="Q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" t="str" cm="1">
        <f t="array" ref="R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" spans="1:18" x14ac:dyDescent="0.25">
      <c r="A81" s="14" t="str" cm="1">
        <f t="array" ref="A81">IF(Tasks[[#This Row],[Task]]="","","T-"&amp;TEXT(ROW()-ROW(Tasks[#Headers]),"000"))</f>
        <v/>
      </c>
      <c r="B81" s="15"/>
      <c r="C81" s="15"/>
      <c r="D81" s="15"/>
      <c r="E81" s="15"/>
      <c r="F81" s="16"/>
      <c r="G81" s="16"/>
      <c r="H81" s="16"/>
      <c r="I81" s="15"/>
      <c r="J81" s="15"/>
      <c r="K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" s="17" t="str">
        <f>IF(Tasks[[#This Row],[Task]]="","",IFERROR(VLOOKUP(IF(Tasks[[#This Row],[Effort]]="","M",Tasks[[#This Row],[Effort]]),EffortTable,2,FALSE),0))</f>
        <v/>
      </c>
      <c r="N81" t="str">
        <f>IF(Tasks[[#This Row],[Task]]="","",IFERROR(MATCH(Tasks[[#This Row],[Status]],{"Late","Blocked","Due soon"},0),9)*100000+N(Tasks[[#This Row],[Due]]))</f>
        <v/>
      </c>
      <c r="O81" t="str" cm="1">
        <f t="array" aca="1" ref="O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" t="str" cm="1">
        <f t="array" ref="P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" t="str" cm="1">
        <f t="array" ref="Q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" t="str" cm="1">
        <f t="array" ref="R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" spans="1:18" x14ac:dyDescent="0.25">
      <c r="A82" s="14" t="str" cm="1">
        <f t="array" ref="A82">IF(Tasks[[#This Row],[Task]]="","","T-"&amp;TEXT(ROW()-ROW(Tasks[#Headers]),"000"))</f>
        <v/>
      </c>
      <c r="B82" s="15"/>
      <c r="C82" s="15"/>
      <c r="D82" s="15"/>
      <c r="E82" s="15"/>
      <c r="F82" s="16"/>
      <c r="G82" s="16"/>
      <c r="H82" s="16"/>
      <c r="I82" s="15"/>
      <c r="J82" s="15"/>
      <c r="K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" s="17" t="str">
        <f>IF(Tasks[[#This Row],[Task]]="","",IFERROR(VLOOKUP(IF(Tasks[[#This Row],[Effort]]="","M",Tasks[[#This Row],[Effort]]),EffortTable,2,FALSE),0))</f>
        <v/>
      </c>
      <c r="N82" t="str">
        <f>IF(Tasks[[#This Row],[Task]]="","",IFERROR(MATCH(Tasks[[#This Row],[Status]],{"Late","Blocked","Due soon"},0),9)*100000+N(Tasks[[#This Row],[Due]]))</f>
        <v/>
      </c>
      <c r="O82" t="str" cm="1">
        <f t="array" aca="1" ref="O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" t="str" cm="1">
        <f t="array" ref="P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" t="str" cm="1">
        <f t="array" ref="Q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" t="str" cm="1">
        <f t="array" ref="R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" spans="1:18" x14ac:dyDescent="0.25">
      <c r="A83" s="14" t="str" cm="1">
        <f t="array" ref="A83">IF(Tasks[[#This Row],[Task]]="","","T-"&amp;TEXT(ROW()-ROW(Tasks[#Headers]),"000"))</f>
        <v/>
      </c>
      <c r="B83" s="15"/>
      <c r="C83" s="15"/>
      <c r="D83" s="15"/>
      <c r="E83" s="15"/>
      <c r="F83" s="16"/>
      <c r="G83" s="16"/>
      <c r="H83" s="16"/>
      <c r="I83" s="15"/>
      <c r="J83" s="15"/>
      <c r="K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" s="17" t="str">
        <f>IF(Tasks[[#This Row],[Task]]="","",IFERROR(VLOOKUP(IF(Tasks[[#This Row],[Effort]]="","M",Tasks[[#This Row],[Effort]]),EffortTable,2,FALSE),0))</f>
        <v/>
      </c>
      <c r="N83" t="str">
        <f>IF(Tasks[[#This Row],[Task]]="","",IFERROR(MATCH(Tasks[[#This Row],[Status]],{"Late","Blocked","Due soon"},0),9)*100000+N(Tasks[[#This Row],[Due]]))</f>
        <v/>
      </c>
      <c r="O83" t="str" cm="1">
        <f t="array" aca="1" ref="O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" t="str" cm="1">
        <f t="array" ref="P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" t="str" cm="1">
        <f t="array" ref="Q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" t="str" cm="1">
        <f t="array" ref="R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" spans="1:18" x14ac:dyDescent="0.25">
      <c r="A84" s="14" t="str" cm="1">
        <f t="array" ref="A84">IF(Tasks[[#This Row],[Task]]="","","T-"&amp;TEXT(ROW()-ROW(Tasks[#Headers]),"000"))</f>
        <v/>
      </c>
      <c r="B84" s="15"/>
      <c r="C84" s="15"/>
      <c r="D84" s="15"/>
      <c r="E84" s="15"/>
      <c r="F84" s="16"/>
      <c r="G84" s="16"/>
      <c r="H84" s="16"/>
      <c r="I84" s="15"/>
      <c r="J84" s="15"/>
      <c r="K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" s="17" t="str">
        <f>IF(Tasks[[#This Row],[Task]]="","",IFERROR(VLOOKUP(IF(Tasks[[#This Row],[Effort]]="","M",Tasks[[#This Row],[Effort]]),EffortTable,2,FALSE),0))</f>
        <v/>
      </c>
      <c r="N84" t="str">
        <f>IF(Tasks[[#This Row],[Task]]="","",IFERROR(MATCH(Tasks[[#This Row],[Status]],{"Late","Blocked","Due soon"},0),9)*100000+N(Tasks[[#This Row],[Due]]))</f>
        <v/>
      </c>
      <c r="O84" t="str" cm="1">
        <f t="array" aca="1" ref="O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" t="str" cm="1">
        <f t="array" ref="P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" t="str" cm="1">
        <f t="array" ref="Q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" t="str" cm="1">
        <f t="array" ref="R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" spans="1:18" x14ac:dyDescent="0.25">
      <c r="A85" s="14" t="str" cm="1">
        <f t="array" ref="A85">IF(Tasks[[#This Row],[Task]]="","","T-"&amp;TEXT(ROW()-ROW(Tasks[#Headers]),"000"))</f>
        <v/>
      </c>
      <c r="B85" s="15"/>
      <c r="C85" s="15"/>
      <c r="D85" s="15"/>
      <c r="E85" s="15"/>
      <c r="F85" s="16"/>
      <c r="G85" s="16"/>
      <c r="H85" s="16"/>
      <c r="I85" s="15"/>
      <c r="J85" s="15"/>
      <c r="K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" s="17" t="str">
        <f>IF(Tasks[[#This Row],[Task]]="","",IFERROR(VLOOKUP(IF(Tasks[[#This Row],[Effort]]="","M",Tasks[[#This Row],[Effort]]),EffortTable,2,FALSE),0))</f>
        <v/>
      </c>
      <c r="N85" t="str">
        <f>IF(Tasks[[#This Row],[Task]]="","",IFERROR(MATCH(Tasks[[#This Row],[Status]],{"Late","Blocked","Due soon"},0),9)*100000+N(Tasks[[#This Row],[Due]]))</f>
        <v/>
      </c>
      <c r="O85" t="str" cm="1">
        <f t="array" aca="1" ref="O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" t="str" cm="1">
        <f t="array" ref="P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" t="str" cm="1">
        <f t="array" ref="Q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" t="str" cm="1">
        <f t="array" ref="R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" spans="1:18" x14ac:dyDescent="0.25">
      <c r="A86" s="14" t="str" cm="1">
        <f t="array" ref="A86">IF(Tasks[[#This Row],[Task]]="","","T-"&amp;TEXT(ROW()-ROW(Tasks[#Headers]),"000"))</f>
        <v/>
      </c>
      <c r="B86" s="15"/>
      <c r="C86" s="15"/>
      <c r="D86" s="15"/>
      <c r="E86" s="15"/>
      <c r="F86" s="16"/>
      <c r="G86" s="16"/>
      <c r="H86" s="16"/>
      <c r="I86" s="15"/>
      <c r="J86" s="15"/>
      <c r="K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" s="17" t="str">
        <f>IF(Tasks[[#This Row],[Task]]="","",IFERROR(VLOOKUP(IF(Tasks[[#This Row],[Effort]]="","M",Tasks[[#This Row],[Effort]]),EffortTable,2,FALSE),0))</f>
        <v/>
      </c>
      <c r="N86" t="str">
        <f>IF(Tasks[[#This Row],[Task]]="","",IFERROR(MATCH(Tasks[[#This Row],[Status]],{"Late","Blocked","Due soon"},0),9)*100000+N(Tasks[[#This Row],[Due]]))</f>
        <v/>
      </c>
      <c r="O86" t="str" cm="1">
        <f t="array" aca="1" ref="O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" t="str" cm="1">
        <f t="array" ref="P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" t="str" cm="1">
        <f t="array" ref="Q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" t="str" cm="1">
        <f t="array" ref="R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" spans="1:18" x14ac:dyDescent="0.25">
      <c r="A87" s="14" t="str" cm="1">
        <f t="array" ref="A87">IF(Tasks[[#This Row],[Task]]="","","T-"&amp;TEXT(ROW()-ROW(Tasks[#Headers]),"000"))</f>
        <v/>
      </c>
      <c r="B87" s="15"/>
      <c r="C87" s="15"/>
      <c r="D87" s="15"/>
      <c r="E87" s="15"/>
      <c r="F87" s="16"/>
      <c r="G87" s="16"/>
      <c r="H87" s="16"/>
      <c r="I87" s="15"/>
      <c r="J87" s="15"/>
      <c r="K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" s="17" t="str">
        <f>IF(Tasks[[#This Row],[Task]]="","",IFERROR(VLOOKUP(IF(Tasks[[#This Row],[Effort]]="","M",Tasks[[#This Row],[Effort]]),EffortTable,2,FALSE),0))</f>
        <v/>
      </c>
      <c r="N87" t="str">
        <f>IF(Tasks[[#This Row],[Task]]="","",IFERROR(MATCH(Tasks[[#This Row],[Status]],{"Late","Blocked","Due soon"},0),9)*100000+N(Tasks[[#This Row],[Due]]))</f>
        <v/>
      </c>
      <c r="O87" t="str" cm="1">
        <f t="array" aca="1" ref="O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" t="str" cm="1">
        <f t="array" ref="P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" t="str" cm="1">
        <f t="array" ref="Q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" t="str" cm="1">
        <f t="array" ref="R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" spans="1:18" x14ac:dyDescent="0.25">
      <c r="A88" s="14" t="str" cm="1">
        <f t="array" ref="A88">IF(Tasks[[#This Row],[Task]]="","","T-"&amp;TEXT(ROW()-ROW(Tasks[#Headers]),"000"))</f>
        <v/>
      </c>
      <c r="B88" s="15"/>
      <c r="C88" s="15"/>
      <c r="D88" s="15"/>
      <c r="E88" s="15"/>
      <c r="F88" s="16"/>
      <c r="G88" s="16"/>
      <c r="H88" s="16"/>
      <c r="I88" s="15"/>
      <c r="J88" s="15"/>
      <c r="K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" s="17" t="str">
        <f>IF(Tasks[[#This Row],[Task]]="","",IFERROR(VLOOKUP(IF(Tasks[[#This Row],[Effort]]="","M",Tasks[[#This Row],[Effort]]),EffortTable,2,FALSE),0))</f>
        <v/>
      </c>
      <c r="N88" t="str">
        <f>IF(Tasks[[#This Row],[Task]]="","",IFERROR(MATCH(Tasks[[#This Row],[Status]],{"Late","Blocked","Due soon"},0),9)*100000+N(Tasks[[#This Row],[Due]]))</f>
        <v/>
      </c>
      <c r="O88" t="str" cm="1">
        <f t="array" aca="1" ref="O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" t="str" cm="1">
        <f t="array" ref="P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" t="str" cm="1">
        <f t="array" ref="Q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" t="str" cm="1">
        <f t="array" ref="R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" spans="1:18" x14ac:dyDescent="0.25">
      <c r="A89" s="14" t="str" cm="1">
        <f t="array" ref="A89">IF(Tasks[[#This Row],[Task]]="","","T-"&amp;TEXT(ROW()-ROW(Tasks[#Headers]),"000"))</f>
        <v/>
      </c>
      <c r="B89" s="15"/>
      <c r="C89" s="15"/>
      <c r="D89" s="15"/>
      <c r="E89" s="15"/>
      <c r="F89" s="16"/>
      <c r="G89" s="16"/>
      <c r="H89" s="16"/>
      <c r="I89" s="15"/>
      <c r="J89" s="15"/>
      <c r="K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" s="17" t="str">
        <f>IF(Tasks[[#This Row],[Task]]="","",IFERROR(VLOOKUP(IF(Tasks[[#This Row],[Effort]]="","M",Tasks[[#This Row],[Effort]]),EffortTable,2,FALSE),0))</f>
        <v/>
      </c>
      <c r="N89" t="str">
        <f>IF(Tasks[[#This Row],[Task]]="","",IFERROR(MATCH(Tasks[[#This Row],[Status]],{"Late","Blocked","Due soon"},0),9)*100000+N(Tasks[[#This Row],[Due]]))</f>
        <v/>
      </c>
      <c r="O89" t="str" cm="1">
        <f t="array" aca="1" ref="O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" t="str" cm="1">
        <f t="array" ref="P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" t="str" cm="1">
        <f t="array" ref="Q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" t="str" cm="1">
        <f t="array" ref="R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" spans="1:18" x14ac:dyDescent="0.25">
      <c r="A90" s="14" t="str" cm="1">
        <f t="array" ref="A90">IF(Tasks[[#This Row],[Task]]="","","T-"&amp;TEXT(ROW()-ROW(Tasks[#Headers]),"000"))</f>
        <v/>
      </c>
      <c r="B90" s="15"/>
      <c r="C90" s="15"/>
      <c r="D90" s="15"/>
      <c r="E90" s="15"/>
      <c r="F90" s="16"/>
      <c r="G90" s="16"/>
      <c r="H90" s="16"/>
      <c r="I90" s="15"/>
      <c r="J90" s="15"/>
      <c r="K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" s="17" t="str">
        <f>IF(Tasks[[#This Row],[Task]]="","",IFERROR(VLOOKUP(IF(Tasks[[#This Row],[Effort]]="","M",Tasks[[#This Row],[Effort]]),EffortTable,2,FALSE),0))</f>
        <v/>
      </c>
      <c r="N90" t="str">
        <f>IF(Tasks[[#This Row],[Task]]="","",IFERROR(MATCH(Tasks[[#This Row],[Status]],{"Late","Blocked","Due soon"},0),9)*100000+N(Tasks[[#This Row],[Due]]))</f>
        <v/>
      </c>
      <c r="O90" t="str" cm="1">
        <f t="array" aca="1" ref="O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" t="str" cm="1">
        <f t="array" ref="P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" t="str" cm="1">
        <f t="array" ref="Q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" t="str" cm="1">
        <f t="array" ref="R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" spans="1:18" x14ac:dyDescent="0.25">
      <c r="A91" s="14" t="str" cm="1">
        <f t="array" ref="A91">IF(Tasks[[#This Row],[Task]]="","","T-"&amp;TEXT(ROW()-ROW(Tasks[#Headers]),"000"))</f>
        <v/>
      </c>
      <c r="B91" s="15"/>
      <c r="C91" s="15"/>
      <c r="D91" s="15"/>
      <c r="E91" s="15"/>
      <c r="F91" s="16"/>
      <c r="G91" s="16"/>
      <c r="H91" s="16"/>
      <c r="I91" s="15"/>
      <c r="J91" s="15"/>
      <c r="K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" s="17" t="str">
        <f>IF(Tasks[[#This Row],[Task]]="","",IFERROR(VLOOKUP(IF(Tasks[[#This Row],[Effort]]="","M",Tasks[[#This Row],[Effort]]),EffortTable,2,FALSE),0))</f>
        <v/>
      </c>
      <c r="N91" t="str">
        <f>IF(Tasks[[#This Row],[Task]]="","",IFERROR(MATCH(Tasks[[#This Row],[Status]],{"Late","Blocked","Due soon"},0),9)*100000+N(Tasks[[#This Row],[Due]]))</f>
        <v/>
      </c>
      <c r="O91" t="str" cm="1">
        <f t="array" aca="1" ref="O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" t="str" cm="1">
        <f t="array" ref="P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" t="str" cm="1">
        <f t="array" ref="Q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" t="str" cm="1">
        <f t="array" ref="R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" spans="1:18" x14ac:dyDescent="0.25">
      <c r="A92" s="14" t="str" cm="1">
        <f t="array" ref="A92">IF(Tasks[[#This Row],[Task]]="","","T-"&amp;TEXT(ROW()-ROW(Tasks[#Headers]),"000"))</f>
        <v/>
      </c>
      <c r="B92" s="15"/>
      <c r="C92" s="15"/>
      <c r="D92" s="15"/>
      <c r="E92" s="15"/>
      <c r="F92" s="16"/>
      <c r="G92" s="16"/>
      <c r="H92" s="16"/>
      <c r="I92" s="15"/>
      <c r="J92" s="15"/>
      <c r="K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" s="17" t="str">
        <f>IF(Tasks[[#This Row],[Task]]="","",IFERROR(VLOOKUP(IF(Tasks[[#This Row],[Effort]]="","M",Tasks[[#This Row],[Effort]]),EffortTable,2,FALSE),0))</f>
        <v/>
      </c>
      <c r="N92" t="str">
        <f>IF(Tasks[[#This Row],[Task]]="","",IFERROR(MATCH(Tasks[[#This Row],[Status]],{"Late","Blocked","Due soon"},0),9)*100000+N(Tasks[[#This Row],[Due]]))</f>
        <v/>
      </c>
      <c r="O92" t="str" cm="1">
        <f t="array" aca="1" ref="O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" t="str" cm="1">
        <f t="array" ref="P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" t="str" cm="1">
        <f t="array" ref="Q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" t="str" cm="1">
        <f t="array" ref="R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" spans="1:18" x14ac:dyDescent="0.25">
      <c r="A93" s="14" t="str" cm="1">
        <f t="array" ref="A93">IF(Tasks[[#This Row],[Task]]="","","T-"&amp;TEXT(ROW()-ROW(Tasks[#Headers]),"000"))</f>
        <v/>
      </c>
      <c r="B93" s="15"/>
      <c r="C93" s="15"/>
      <c r="D93" s="15"/>
      <c r="E93" s="15"/>
      <c r="F93" s="16"/>
      <c r="G93" s="16"/>
      <c r="H93" s="16"/>
      <c r="I93" s="15"/>
      <c r="J93" s="15"/>
      <c r="K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" s="17" t="str">
        <f>IF(Tasks[[#This Row],[Task]]="","",IFERROR(VLOOKUP(IF(Tasks[[#This Row],[Effort]]="","M",Tasks[[#This Row],[Effort]]),EffortTable,2,FALSE),0))</f>
        <v/>
      </c>
      <c r="N93" t="str">
        <f>IF(Tasks[[#This Row],[Task]]="","",IFERROR(MATCH(Tasks[[#This Row],[Status]],{"Late","Blocked","Due soon"},0),9)*100000+N(Tasks[[#This Row],[Due]]))</f>
        <v/>
      </c>
      <c r="O93" t="str" cm="1">
        <f t="array" aca="1" ref="O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" t="str" cm="1">
        <f t="array" ref="P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" t="str" cm="1">
        <f t="array" ref="Q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" t="str" cm="1">
        <f t="array" ref="R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" spans="1:18" x14ac:dyDescent="0.25">
      <c r="A94" s="14" t="str" cm="1">
        <f t="array" ref="A94">IF(Tasks[[#This Row],[Task]]="","","T-"&amp;TEXT(ROW()-ROW(Tasks[#Headers]),"000"))</f>
        <v/>
      </c>
      <c r="B94" s="15"/>
      <c r="C94" s="15"/>
      <c r="D94" s="15"/>
      <c r="E94" s="15"/>
      <c r="F94" s="16"/>
      <c r="G94" s="16"/>
      <c r="H94" s="16"/>
      <c r="I94" s="15"/>
      <c r="J94" s="15"/>
      <c r="K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" s="17" t="str">
        <f>IF(Tasks[[#This Row],[Task]]="","",IFERROR(VLOOKUP(IF(Tasks[[#This Row],[Effort]]="","M",Tasks[[#This Row],[Effort]]),EffortTable,2,FALSE),0))</f>
        <v/>
      </c>
      <c r="N94" t="str">
        <f>IF(Tasks[[#This Row],[Task]]="","",IFERROR(MATCH(Tasks[[#This Row],[Status]],{"Late","Blocked","Due soon"},0),9)*100000+N(Tasks[[#This Row],[Due]]))</f>
        <v/>
      </c>
      <c r="O94" t="str" cm="1">
        <f t="array" aca="1" ref="O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" t="str" cm="1">
        <f t="array" ref="P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" t="str" cm="1">
        <f t="array" ref="Q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" t="str" cm="1">
        <f t="array" ref="R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" spans="1:18" x14ac:dyDescent="0.25">
      <c r="A95" s="14" t="str" cm="1">
        <f t="array" ref="A95">IF(Tasks[[#This Row],[Task]]="","","T-"&amp;TEXT(ROW()-ROW(Tasks[#Headers]),"000"))</f>
        <v/>
      </c>
      <c r="B95" s="15"/>
      <c r="C95" s="15"/>
      <c r="D95" s="15"/>
      <c r="E95" s="15"/>
      <c r="F95" s="16"/>
      <c r="G95" s="16"/>
      <c r="H95" s="16"/>
      <c r="I95" s="15"/>
      <c r="J95" s="15"/>
      <c r="K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" s="17" t="str">
        <f>IF(Tasks[[#This Row],[Task]]="","",IFERROR(VLOOKUP(IF(Tasks[[#This Row],[Effort]]="","M",Tasks[[#This Row],[Effort]]),EffortTable,2,FALSE),0))</f>
        <v/>
      </c>
      <c r="N95" t="str">
        <f>IF(Tasks[[#This Row],[Task]]="","",IFERROR(MATCH(Tasks[[#This Row],[Status]],{"Late","Blocked","Due soon"},0),9)*100000+N(Tasks[[#This Row],[Due]]))</f>
        <v/>
      </c>
      <c r="O95" t="str" cm="1">
        <f t="array" aca="1" ref="O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" t="str" cm="1">
        <f t="array" ref="P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" t="str" cm="1">
        <f t="array" ref="Q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" t="str" cm="1">
        <f t="array" ref="R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" spans="1:18" x14ac:dyDescent="0.25">
      <c r="A96" s="14" t="str" cm="1">
        <f t="array" ref="A96">IF(Tasks[[#This Row],[Task]]="","","T-"&amp;TEXT(ROW()-ROW(Tasks[#Headers]),"000"))</f>
        <v/>
      </c>
      <c r="B96" s="15"/>
      <c r="C96" s="15"/>
      <c r="D96" s="15"/>
      <c r="E96" s="15"/>
      <c r="F96" s="16"/>
      <c r="G96" s="16"/>
      <c r="H96" s="16"/>
      <c r="I96" s="15"/>
      <c r="J96" s="15"/>
      <c r="K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" s="17" t="str">
        <f>IF(Tasks[[#This Row],[Task]]="","",IFERROR(VLOOKUP(IF(Tasks[[#This Row],[Effort]]="","M",Tasks[[#This Row],[Effort]]),EffortTable,2,FALSE),0))</f>
        <v/>
      </c>
      <c r="N96" t="str">
        <f>IF(Tasks[[#This Row],[Task]]="","",IFERROR(MATCH(Tasks[[#This Row],[Status]],{"Late","Blocked","Due soon"},0),9)*100000+N(Tasks[[#This Row],[Due]]))</f>
        <v/>
      </c>
      <c r="O96" t="str" cm="1">
        <f t="array" aca="1" ref="O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" t="str" cm="1">
        <f t="array" ref="P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" t="str" cm="1">
        <f t="array" ref="Q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" t="str" cm="1">
        <f t="array" ref="R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" spans="1:18" x14ac:dyDescent="0.25">
      <c r="A97" s="14" t="str" cm="1">
        <f t="array" ref="A97">IF(Tasks[[#This Row],[Task]]="","","T-"&amp;TEXT(ROW()-ROW(Tasks[#Headers]),"000"))</f>
        <v/>
      </c>
      <c r="B97" s="15"/>
      <c r="C97" s="15"/>
      <c r="D97" s="15"/>
      <c r="E97" s="15"/>
      <c r="F97" s="16"/>
      <c r="G97" s="16"/>
      <c r="H97" s="16"/>
      <c r="I97" s="15"/>
      <c r="J97" s="15"/>
      <c r="K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" s="17" t="str">
        <f>IF(Tasks[[#This Row],[Task]]="","",IFERROR(VLOOKUP(IF(Tasks[[#This Row],[Effort]]="","M",Tasks[[#This Row],[Effort]]),EffortTable,2,FALSE),0))</f>
        <v/>
      </c>
      <c r="N97" t="str">
        <f>IF(Tasks[[#This Row],[Task]]="","",IFERROR(MATCH(Tasks[[#This Row],[Status]],{"Late","Blocked","Due soon"},0),9)*100000+N(Tasks[[#This Row],[Due]]))</f>
        <v/>
      </c>
      <c r="O97" t="str" cm="1">
        <f t="array" aca="1" ref="O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" t="str" cm="1">
        <f t="array" ref="P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" t="str" cm="1">
        <f t="array" ref="Q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" t="str" cm="1">
        <f t="array" ref="R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" spans="1:18" x14ac:dyDescent="0.25">
      <c r="A98" s="14" t="str" cm="1">
        <f t="array" ref="A98">IF(Tasks[[#This Row],[Task]]="","","T-"&amp;TEXT(ROW()-ROW(Tasks[#Headers]),"000"))</f>
        <v/>
      </c>
      <c r="B98" s="15"/>
      <c r="C98" s="15"/>
      <c r="D98" s="15"/>
      <c r="E98" s="15"/>
      <c r="F98" s="16"/>
      <c r="G98" s="16"/>
      <c r="H98" s="16"/>
      <c r="I98" s="15"/>
      <c r="J98" s="15"/>
      <c r="K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" s="17" t="str">
        <f>IF(Tasks[[#This Row],[Task]]="","",IFERROR(VLOOKUP(IF(Tasks[[#This Row],[Effort]]="","M",Tasks[[#This Row],[Effort]]),EffortTable,2,FALSE),0))</f>
        <v/>
      </c>
      <c r="N98" t="str">
        <f>IF(Tasks[[#This Row],[Task]]="","",IFERROR(MATCH(Tasks[[#This Row],[Status]],{"Late","Blocked","Due soon"},0),9)*100000+N(Tasks[[#This Row],[Due]]))</f>
        <v/>
      </c>
      <c r="O98" t="str" cm="1">
        <f t="array" aca="1" ref="O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" t="str" cm="1">
        <f t="array" ref="P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" t="str" cm="1">
        <f t="array" ref="Q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" t="str" cm="1">
        <f t="array" ref="R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" spans="1:18" x14ac:dyDescent="0.25">
      <c r="A99" s="14" t="str" cm="1">
        <f t="array" ref="A99">IF(Tasks[[#This Row],[Task]]="","","T-"&amp;TEXT(ROW()-ROW(Tasks[#Headers]),"000"))</f>
        <v/>
      </c>
      <c r="B99" s="15"/>
      <c r="C99" s="15"/>
      <c r="D99" s="15"/>
      <c r="E99" s="15"/>
      <c r="F99" s="16"/>
      <c r="G99" s="16"/>
      <c r="H99" s="16"/>
      <c r="I99" s="15"/>
      <c r="J99" s="15"/>
      <c r="K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" s="17" t="str">
        <f>IF(Tasks[[#This Row],[Task]]="","",IFERROR(VLOOKUP(IF(Tasks[[#This Row],[Effort]]="","M",Tasks[[#This Row],[Effort]]),EffortTable,2,FALSE),0))</f>
        <v/>
      </c>
      <c r="N99" t="str">
        <f>IF(Tasks[[#This Row],[Task]]="","",IFERROR(MATCH(Tasks[[#This Row],[Status]],{"Late","Blocked","Due soon"},0),9)*100000+N(Tasks[[#This Row],[Due]]))</f>
        <v/>
      </c>
      <c r="O99" t="str" cm="1">
        <f t="array" aca="1" ref="O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" t="str" cm="1">
        <f t="array" ref="P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" t="str" cm="1">
        <f t="array" ref="Q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" t="str" cm="1">
        <f t="array" ref="R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" spans="1:18" x14ac:dyDescent="0.25">
      <c r="A100" s="14" t="str" cm="1">
        <f t="array" ref="A100">IF(Tasks[[#This Row],[Task]]="","","T-"&amp;TEXT(ROW()-ROW(Tasks[#Headers]),"000"))</f>
        <v/>
      </c>
      <c r="B100" s="15"/>
      <c r="C100" s="15"/>
      <c r="D100" s="15"/>
      <c r="E100" s="15"/>
      <c r="F100" s="16"/>
      <c r="G100" s="16"/>
      <c r="H100" s="16"/>
      <c r="I100" s="15"/>
      <c r="J100" s="15"/>
      <c r="K1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" s="17" t="str">
        <f>IF(Tasks[[#This Row],[Task]]="","",IFERROR(VLOOKUP(IF(Tasks[[#This Row],[Effort]]="","M",Tasks[[#This Row],[Effort]]),EffortTable,2,FALSE),0))</f>
        <v/>
      </c>
      <c r="N100" t="str">
        <f>IF(Tasks[[#This Row],[Task]]="","",IFERROR(MATCH(Tasks[[#This Row],[Status]],{"Late","Blocked","Due soon"},0),9)*100000+N(Tasks[[#This Row],[Due]]))</f>
        <v/>
      </c>
      <c r="O100" t="str" cm="1">
        <f t="array" aca="1" ref="O1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" t="str" cm="1">
        <f t="array" ref="P1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" t="str" cm="1">
        <f t="array" ref="Q1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" t="str" cm="1">
        <f t="array" ref="R1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1" spans="1:18" x14ac:dyDescent="0.25">
      <c r="A101" s="14" t="str" cm="1">
        <f t="array" ref="A101">IF(Tasks[[#This Row],[Task]]="","","T-"&amp;TEXT(ROW()-ROW(Tasks[#Headers]),"000"))</f>
        <v/>
      </c>
      <c r="B101" s="15"/>
      <c r="C101" s="15"/>
      <c r="D101" s="15"/>
      <c r="E101" s="15"/>
      <c r="F101" s="16"/>
      <c r="G101" s="16"/>
      <c r="H101" s="16"/>
      <c r="I101" s="15"/>
      <c r="J101" s="15"/>
      <c r="K1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1" s="17" t="str">
        <f>IF(Tasks[[#This Row],[Task]]="","",IFERROR(VLOOKUP(IF(Tasks[[#This Row],[Effort]]="","M",Tasks[[#This Row],[Effort]]),EffortTable,2,FALSE),0))</f>
        <v/>
      </c>
      <c r="N101" t="str">
        <f>IF(Tasks[[#This Row],[Task]]="","",IFERROR(MATCH(Tasks[[#This Row],[Status]],{"Late","Blocked","Due soon"},0),9)*100000+N(Tasks[[#This Row],[Due]]))</f>
        <v/>
      </c>
      <c r="O101" t="str" cm="1">
        <f t="array" aca="1" ref="O1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1" t="str" cm="1">
        <f t="array" ref="P1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1" t="str" cm="1">
        <f t="array" ref="Q1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1" t="str" cm="1">
        <f t="array" ref="R1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2" spans="1:18" x14ac:dyDescent="0.25">
      <c r="A102" s="14" t="str" cm="1">
        <f t="array" ref="A102">IF(Tasks[[#This Row],[Task]]="","","T-"&amp;TEXT(ROW()-ROW(Tasks[#Headers]),"000"))</f>
        <v/>
      </c>
      <c r="B102" s="15"/>
      <c r="C102" s="15"/>
      <c r="D102" s="15"/>
      <c r="E102" s="15"/>
      <c r="F102" s="16"/>
      <c r="G102" s="16"/>
      <c r="H102" s="16"/>
      <c r="I102" s="15"/>
      <c r="J102" s="15"/>
      <c r="K1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2" s="17" t="str">
        <f>IF(Tasks[[#This Row],[Task]]="","",IFERROR(VLOOKUP(IF(Tasks[[#This Row],[Effort]]="","M",Tasks[[#This Row],[Effort]]),EffortTable,2,FALSE),0))</f>
        <v/>
      </c>
      <c r="N102" t="str">
        <f>IF(Tasks[[#This Row],[Task]]="","",IFERROR(MATCH(Tasks[[#This Row],[Status]],{"Late","Blocked","Due soon"},0),9)*100000+N(Tasks[[#This Row],[Due]]))</f>
        <v/>
      </c>
      <c r="O102" t="str" cm="1">
        <f t="array" aca="1" ref="O1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2" t="str" cm="1">
        <f t="array" ref="P1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2" t="str" cm="1">
        <f t="array" ref="Q1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2" t="str" cm="1">
        <f t="array" ref="R1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3" spans="1:18" x14ac:dyDescent="0.25">
      <c r="A103" s="14" t="str" cm="1">
        <f t="array" ref="A103">IF(Tasks[[#This Row],[Task]]="","","T-"&amp;TEXT(ROW()-ROW(Tasks[#Headers]),"000"))</f>
        <v/>
      </c>
      <c r="B103" s="15"/>
      <c r="C103" s="15"/>
      <c r="D103" s="15"/>
      <c r="E103" s="15"/>
      <c r="F103" s="16"/>
      <c r="G103" s="16"/>
      <c r="H103" s="16"/>
      <c r="I103" s="15"/>
      <c r="J103" s="15"/>
      <c r="K1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3" s="17" t="str">
        <f>IF(Tasks[[#This Row],[Task]]="","",IFERROR(VLOOKUP(IF(Tasks[[#This Row],[Effort]]="","M",Tasks[[#This Row],[Effort]]),EffortTable,2,FALSE),0))</f>
        <v/>
      </c>
      <c r="N103" t="str">
        <f>IF(Tasks[[#This Row],[Task]]="","",IFERROR(MATCH(Tasks[[#This Row],[Status]],{"Late","Blocked","Due soon"},0),9)*100000+N(Tasks[[#This Row],[Due]]))</f>
        <v/>
      </c>
      <c r="O103" t="str" cm="1">
        <f t="array" aca="1" ref="O1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3" t="str" cm="1">
        <f t="array" ref="P1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3" t="str" cm="1">
        <f t="array" ref="Q1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3" t="str" cm="1">
        <f t="array" ref="R1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4" spans="1:18" x14ac:dyDescent="0.25">
      <c r="A104" s="14" t="str" cm="1">
        <f t="array" ref="A104">IF(Tasks[[#This Row],[Task]]="","","T-"&amp;TEXT(ROW()-ROW(Tasks[#Headers]),"000"))</f>
        <v/>
      </c>
      <c r="B104" s="15"/>
      <c r="C104" s="15"/>
      <c r="D104" s="15"/>
      <c r="E104" s="15"/>
      <c r="F104" s="16"/>
      <c r="G104" s="16"/>
      <c r="H104" s="16"/>
      <c r="I104" s="15"/>
      <c r="J104" s="15"/>
      <c r="K1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4" s="17" t="str">
        <f>IF(Tasks[[#This Row],[Task]]="","",IFERROR(VLOOKUP(IF(Tasks[[#This Row],[Effort]]="","M",Tasks[[#This Row],[Effort]]),EffortTable,2,FALSE),0))</f>
        <v/>
      </c>
      <c r="N104" t="str">
        <f>IF(Tasks[[#This Row],[Task]]="","",IFERROR(MATCH(Tasks[[#This Row],[Status]],{"Late","Blocked","Due soon"},0),9)*100000+N(Tasks[[#This Row],[Due]]))</f>
        <v/>
      </c>
      <c r="O104" t="str" cm="1">
        <f t="array" aca="1" ref="O1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4" t="str" cm="1">
        <f t="array" ref="P1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4" t="str" cm="1">
        <f t="array" ref="Q1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4" t="str" cm="1">
        <f t="array" ref="R1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5" spans="1:18" x14ac:dyDescent="0.25">
      <c r="A105" s="14" t="str" cm="1">
        <f t="array" ref="A105">IF(Tasks[[#This Row],[Task]]="","","T-"&amp;TEXT(ROW()-ROW(Tasks[#Headers]),"000"))</f>
        <v/>
      </c>
      <c r="B105" s="15"/>
      <c r="C105" s="15"/>
      <c r="D105" s="15"/>
      <c r="E105" s="15"/>
      <c r="F105" s="16"/>
      <c r="G105" s="16"/>
      <c r="H105" s="16"/>
      <c r="I105" s="15"/>
      <c r="J105" s="15"/>
      <c r="K1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5" s="17" t="str">
        <f>IF(Tasks[[#This Row],[Task]]="","",IFERROR(VLOOKUP(IF(Tasks[[#This Row],[Effort]]="","M",Tasks[[#This Row],[Effort]]),EffortTable,2,FALSE),0))</f>
        <v/>
      </c>
      <c r="N105" t="str">
        <f>IF(Tasks[[#This Row],[Task]]="","",IFERROR(MATCH(Tasks[[#This Row],[Status]],{"Late","Blocked","Due soon"},0),9)*100000+N(Tasks[[#This Row],[Due]]))</f>
        <v/>
      </c>
      <c r="O105" t="str" cm="1">
        <f t="array" aca="1" ref="O1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5" t="str" cm="1">
        <f t="array" ref="P1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5" t="str" cm="1">
        <f t="array" ref="Q1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5" t="str" cm="1">
        <f t="array" ref="R1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6" spans="1:18" x14ac:dyDescent="0.25">
      <c r="A106" s="14" t="str" cm="1">
        <f t="array" ref="A106">IF(Tasks[[#This Row],[Task]]="","","T-"&amp;TEXT(ROW()-ROW(Tasks[#Headers]),"000"))</f>
        <v/>
      </c>
      <c r="B106" s="15"/>
      <c r="C106" s="15"/>
      <c r="D106" s="15"/>
      <c r="E106" s="15"/>
      <c r="F106" s="16"/>
      <c r="G106" s="16"/>
      <c r="H106" s="16"/>
      <c r="I106" s="15"/>
      <c r="J106" s="15"/>
      <c r="K1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6" s="17" t="str">
        <f>IF(Tasks[[#This Row],[Task]]="","",IFERROR(VLOOKUP(IF(Tasks[[#This Row],[Effort]]="","M",Tasks[[#This Row],[Effort]]),EffortTable,2,FALSE),0))</f>
        <v/>
      </c>
      <c r="N106" t="str">
        <f>IF(Tasks[[#This Row],[Task]]="","",IFERROR(MATCH(Tasks[[#This Row],[Status]],{"Late","Blocked","Due soon"},0),9)*100000+N(Tasks[[#This Row],[Due]]))</f>
        <v/>
      </c>
      <c r="O106" t="str" cm="1">
        <f t="array" aca="1" ref="O1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6" t="str" cm="1">
        <f t="array" ref="P1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6" t="str" cm="1">
        <f t="array" ref="Q1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6" t="str" cm="1">
        <f t="array" ref="R1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7" spans="1:18" x14ac:dyDescent="0.25">
      <c r="A107" s="14" t="str" cm="1">
        <f t="array" ref="A107">IF(Tasks[[#This Row],[Task]]="","","T-"&amp;TEXT(ROW()-ROW(Tasks[#Headers]),"000"))</f>
        <v/>
      </c>
      <c r="B107" s="15"/>
      <c r="C107" s="15"/>
      <c r="D107" s="15"/>
      <c r="E107" s="15"/>
      <c r="F107" s="16"/>
      <c r="G107" s="16"/>
      <c r="H107" s="16"/>
      <c r="I107" s="15"/>
      <c r="J107" s="15"/>
      <c r="K1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7" s="17" t="str">
        <f>IF(Tasks[[#This Row],[Task]]="","",IFERROR(VLOOKUP(IF(Tasks[[#This Row],[Effort]]="","M",Tasks[[#This Row],[Effort]]),EffortTable,2,FALSE),0))</f>
        <v/>
      </c>
      <c r="N107" t="str">
        <f>IF(Tasks[[#This Row],[Task]]="","",IFERROR(MATCH(Tasks[[#This Row],[Status]],{"Late","Blocked","Due soon"},0),9)*100000+N(Tasks[[#This Row],[Due]]))</f>
        <v/>
      </c>
      <c r="O107" t="str" cm="1">
        <f t="array" aca="1" ref="O1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7" t="str" cm="1">
        <f t="array" ref="P1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7" t="str" cm="1">
        <f t="array" ref="Q1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7" t="str" cm="1">
        <f t="array" ref="R1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8" spans="1:18" x14ac:dyDescent="0.25">
      <c r="A108" s="14" t="str" cm="1">
        <f t="array" ref="A108">IF(Tasks[[#This Row],[Task]]="","","T-"&amp;TEXT(ROW()-ROW(Tasks[#Headers]),"000"))</f>
        <v/>
      </c>
      <c r="B108" s="15"/>
      <c r="C108" s="15"/>
      <c r="D108" s="15"/>
      <c r="E108" s="15"/>
      <c r="F108" s="16"/>
      <c r="G108" s="16"/>
      <c r="H108" s="16"/>
      <c r="I108" s="15"/>
      <c r="J108" s="15"/>
      <c r="K1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8" s="17" t="str">
        <f>IF(Tasks[[#This Row],[Task]]="","",IFERROR(VLOOKUP(IF(Tasks[[#This Row],[Effort]]="","M",Tasks[[#This Row],[Effort]]),EffortTable,2,FALSE),0))</f>
        <v/>
      </c>
      <c r="N108" t="str">
        <f>IF(Tasks[[#This Row],[Task]]="","",IFERROR(MATCH(Tasks[[#This Row],[Status]],{"Late","Blocked","Due soon"},0),9)*100000+N(Tasks[[#This Row],[Due]]))</f>
        <v/>
      </c>
      <c r="O108" t="str" cm="1">
        <f t="array" aca="1" ref="O1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8" t="str" cm="1">
        <f t="array" ref="P1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8" t="str" cm="1">
        <f t="array" ref="Q1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8" t="str" cm="1">
        <f t="array" ref="R1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9" spans="1:18" x14ac:dyDescent="0.25">
      <c r="A109" s="14" t="str" cm="1">
        <f t="array" ref="A109">IF(Tasks[[#This Row],[Task]]="","","T-"&amp;TEXT(ROW()-ROW(Tasks[#Headers]),"000"))</f>
        <v/>
      </c>
      <c r="B109" s="15"/>
      <c r="C109" s="15"/>
      <c r="D109" s="15"/>
      <c r="E109" s="15"/>
      <c r="F109" s="16"/>
      <c r="G109" s="16"/>
      <c r="H109" s="16"/>
      <c r="I109" s="15"/>
      <c r="J109" s="15"/>
      <c r="K1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9" s="17" t="str">
        <f>IF(Tasks[[#This Row],[Task]]="","",IFERROR(VLOOKUP(IF(Tasks[[#This Row],[Effort]]="","M",Tasks[[#This Row],[Effort]]),EffortTable,2,FALSE),0))</f>
        <v/>
      </c>
      <c r="N109" t="str">
        <f>IF(Tasks[[#This Row],[Task]]="","",IFERROR(MATCH(Tasks[[#This Row],[Status]],{"Late","Blocked","Due soon"},0),9)*100000+N(Tasks[[#This Row],[Due]]))</f>
        <v/>
      </c>
      <c r="O109" t="str" cm="1">
        <f t="array" aca="1" ref="O1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9" t="str" cm="1">
        <f t="array" ref="P1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9" t="str" cm="1">
        <f t="array" ref="Q1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9" t="str" cm="1">
        <f t="array" ref="R1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0" spans="1:18" x14ac:dyDescent="0.25">
      <c r="A110" s="14" t="str" cm="1">
        <f t="array" ref="A110">IF(Tasks[[#This Row],[Task]]="","","T-"&amp;TEXT(ROW()-ROW(Tasks[#Headers]),"000"))</f>
        <v/>
      </c>
      <c r="B110" s="15"/>
      <c r="C110" s="15"/>
      <c r="D110" s="15"/>
      <c r="E110" s="15"/>
      <c r="F110" s="16"/>
      <c r="G110" s="16"/>
      <c r="H110" s="16"/>
      <c r="I110" s="15"/>
      <c r="J110" s="15"/>
      <c r="K1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0" s="17" t="str">
        <f>IF(Tasks[[#This Row],[Task]]="","",IFERROR(VLOOKUP(IF(Tasks[[#This Row],[Effort]]="","M",Tasks[[#This Row],[Effort]]),EffortTable,2,FALSE),0))</f>
        <v/>
      </c>
      <c r="N110" t="str">
        <f>IF(Tasks[[#This Row],[Task]]="","",IFERROR(MATCH(Tasks[[#This Row],[Status]],{"Late","Blocked","Due soon"},0),9)*100000+N(Tasks[[#This Row],[Due]]))</f>
        <v/>
      </c>
      <c r="O110" t="str" cm="1">
        <f t="array" aca="1" ref="O1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0" t="str" cm="1">
        <f t="array" ref="P1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0" t="str" cm="1">
        <f t="array" ref="Q1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0" t="str" cm="1">
        <f t="array" ref="R1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1" spans="1:18" x14ac:dyDescent="0.25">
      <c r="A111" s="14" t="str" cm="1">
        <f t="array" ref="A111">IF(Tasks[[#This Row],[Task]]="","","T-"&amp;TEXT(ROW()-ROW(Tasks[#Headers]),"000"))</f>
        <v/>
      </c>
      <c r="B111" s="15"/>
      <c r="C111" s="15"/>
      <c r="D111" s="15"/>
      <c r="E111" s="15"/>
      <c r="F111" s="16"/>
      <c r="G111" s="16"/>
      <c r="H111" s="16"/>
      <c r="I111" s="15"/>
      <c r="J111" s="15"/>
      <c r="K1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1" s="17" t="str">
        <f>IF(Tasks[[#This Row],[Task]]="","",IFERROR(VLOOKUP(IF(Tasks[[#This Row],[Effort]]="","M",Tasks[[#This Row],[Effort]]),EffortTable,2,FALSE),0))</f>
        <v/>
      </c>
      <c r="N111" t="str">
        <f>IF(Tasks[[#This Row],[Task]]="","",IFERROR(MATCH(Tasks[[#This Row],[Status]],{"Late","Blocked","Due soon"},0),9)*100000+N(Tasks[[#This Row],[Due]]))</f>
        <v/>
      </c>
      <c r="O111" t="str" cm="1">
        <f t="array" aca="1" ref="O1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1" t="str" cm="1">
        <f t="array" ref="P1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1" t="str" cm="1">
        <f t="array" ref="Q1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1" t="str" cm="1">
        <f t="array" ref="R1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2" spans="1:18" x14ac:dyDescent="0.25">
      <c r="A112" s="14" t="str" cm="1">
        <f t="array" ref="A112">IF(Tasks[[#This Row],[Task]]="","","T-"&amp;TEXT(ROW()-ROW(Tasks[#Headers]),"000"))</f>
        <v/>
      </c>
      <c r="B112" s="15"/>
      <c r="C112" s="15"/>
      <c r="D112" s="15"/>
      <c r="E112" s="15"/>
      <c r="F112" s="16"/>
      <c r="G112" s="16"/>
      <c r="H112" s="16"/>
      <c r="I112" s="15"/>
      <c r="J112" s="15"/>
      <c r="K1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2" s="17" t="str">
        <f>IF(Tasks[[#This Row],[Task]]="","",IFERROR(VLOOKUP(IF(Tasks[[#This Row],[Effort]]="","M",Tasks[[#This Row],[Effort]]),EffortTable,2,FALSE),0))</f>
        <v/>
      </c>
      <c r="N112" t="str">
        <f>IF(Tasks[[#This Row],[Task]]="","",IFERROR(MATCH(Tasks[[#This Row],[Status]],{"Late","Blocked","Due soon"},0),9)*100000+N(Tasks[[#This Row],[Due]]))</f>
        <v/>
      </c>
      <c r="O112" t="str" cm="1">
        <f t="array" aca="1" ref="O1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2" t="str" cm="1">
        <f t="array" ref="P1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2" t="str" cm="1">
        <f t="array" ref="Q1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2" t="str" cm="1">
        <f t="array" ref="R1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3" spans="1:18" x14ac:dyDescent="0.25">
      <c r="A113" s="14" t="str" cm="1">
        <f t="array" ref="A113">IF(Tasks[[#This Row],[Task]]="","","T-"&amp;TEXT(ROW()-ROW(Tasks[#Headers]),"000"))</f>
        <v/>
      </c>
      <c r="B113" s="15"/>
      <c r="C113" s="15"/>
      <c r="D113" s="15"/>
      <c r="E113" s="15"/>
      <c r="F113" s="16"/>
      <c r="G113" s="16"/>
      <c r="H113" s="16"/>
      <c r="I113" s="15"/>
      <c r="J113" s="15"/>
      <c r="K1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3" s="17" t="str">
        <f>IF(Tasks[[#This Row],[Task]]="","",IFERROR(VLOOKUP(IF(Tasks[[#This Row],[Effort]]="","M",Tasks[[#This Row],[Effort]]),EffortTable,2,FALSE),0))</f>
        <v/>
      </c>
      <c r="N113" t="str">
        <f>IF(Tasks[[#This Row],[Task]]="","",IFERROR(MATCH(Tasks[[#This Row],[Status]],{"Late","Blocked","Due soon"},0),9)*100000+N(Tasks[[#This Row],[Due]]))</f>
        <v/>
      </c>
      <c r="O113" t="str" cm="1">
        <f t="array" aca="1" ref="O1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3" t="str" cm="1">
        <f t="array" ref="P1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3" t="str" cm="1">
        <f t="array" ref="Q1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3" t="str" cm="1">
        <f t="array" ref="R1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4" spans="1:18" x14ac:dyDescent="0.25">
      <c r="A114" s="14" t="str" cm="1">
        <f t="array" ref="A114">IF(Tasks[[#This Row],[Task]]="","","T-"&amp;TEXT(ROW()-ROW(Tasks[#Headers]),"000"))</f>
        <v/>
      </c>
      <c r="B114" s="15"/>
      <c r="C114" s="15"/>
      <c r="D114" s="15"/>
      <c r="E114" s="15"/>
      <c r="F114" s="16"/>
      <c r="G114" s="16"/>
      <c r="H114" s="16"/>
      <c r="I114" s="15"/>
      <c r="J114" s="15"/>
      <c r="K1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4" s="17" t="str">
        <f>IF(Tasks[[#This Row],[Task]]="","",IFERROR(VLOOKUP(IF(Tasks[[#This Row],[Effort]]="","M",Tasks[[#This Row],[Effort]]),EffortTable,2,FALSE),0))</f>
        <v/>
      </c>
      <c r="N114" t="str">
        <f>IF(Tasks[[#This Row],[Task]]="","",IFERROR(MATCH(Tasks[[#This Row],[Status]],{"Late","Blocked","Due soon"},0),9)*100000+N(Tasks[[#This Row],[Due]]))</f>
        <v/>
      </c>
      <c r="O114" t="str" cm="1">
        <f t="array" aca="1" ref="O1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4" t="str" cm="1">
        <f t="array" ref="P1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4" t="str" cm="1">
        <f t="array" ref="Q1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4" t="str" cm="1">
        <f t="array" ref="R1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5" spans="1:18" x14ac:dyDescent="0.25">
      <c r="A115" s="14" t="str" cm="1">
        <f t="array" ref="A115">IF(Tasks[[#This Row],[Task]]="","","T-"&amp;TEXT(ROW()-ROW(Tasks[#Headers]),"000"))</f>
        <v/>
      </c>
      <c r="B115" s="15"/>
      <c r="C115" s="15"/>
      <c r="D115" s="15"/>
      <c r="E115" s="15"/>
      <c r="F115" s="16"/>
      <c r="G115" s="16"/>
      <c r="H115" s="16"/>
      <c r="I115" s="15"/>
      <c r="J115" s="15"/>
      <c r="K1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5" s="17" t="str">
        <f>IF(Tasks[[#This Row],[Task]]="","",IFERROR(VLOOKUP(IF(Tasks[[#This Row],[Effort]]="","M",Tasks[[#This Row],[Effort]]),EffortTable,2,FALSE),0))</f>
        <v/>
      </c>
      <c r="N115" t="str">
        <f>IF(Tasks[[#This Row],[Task]]="","",IFERROR(MATCH(Tasks[[#This Row],[Status]],{"Late","Blocked","Due soon"},0),9)*100000+N(Tasks[[#This Row],[Due]]))</f>
        <v/>
      </c>
      <c r="O115" t="str" cm="1">
        <f t="array" aca="1" ref="O1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5" t="str" cm="1">
        <f t="array" ref="P1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5" t="str" cm="1">
        <f t="array" ref="Q1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5" t="str" cm="1">
        <f t="array" ref="R1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6" spans="1:18" x14ac:dyDescent="0.25">
      <c r="A116" s="14" t="str" cm="1">
        <f t="array" ref="A116">IF(Tasks[[#This Row],[Task]]="","","T-"&amp;TEXT(ROW()-ROW(Tasks[#Headers]),"000"))</f>
        <v/>
      </c>
      <c r="B116" s="15"/>
      <c r="C116" s="15"/>
      <c r="D116" s="15"/>
      <c r="E116" s="15"/>
      <c r="F116" s="16"/>
      <c r="G116" s="16"/>
      <c r="H116" s="16"/>
      <c r="I116" s="15"/>
      <c r="J116" s="15"/>
      <c r="K1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6" s="17" t="str">
        <f>IF(Tasks[[#This Row],[Task]]="","",IFERROR(VLOOKUP(IF(Tasks[[#This Row],[Effort]]="","M",Tasks[[#This Row],[Effort]]),EffortTable,2,FALSE),0))</f>
        <v/>
      </c>
      <c r="N116" t="str">
        <f>IF(Tasks[[#This Row],[Task]]="","",IFERROR(MATCH(Tasks[[#This Row],[Status]],{"Late","Blocked","Due soon"},0),9)*100000+N(Tasks[[#This Row],[Due]]))</f>
        <v/>
      </c>
      <c r="O116" t="str" cm="1">
        <f t="array" aca="1" ref="O1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6" t="str" cm="1">
        <f t="array" ref="P1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6" t="str" cm="1">
        <f t="array" ref="Q1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6" t="str" cm="1">
        <f t="array" ref="R1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7" spans="1:18" x14ac:dyDescent="0.25">
      <c r="A117" s="14" t="str" cm="1">
        <f t="array" ref="A117">IF(Tasks[[#This Row],[Task]]="","","T-"&amp;TEXT(ROW()-ROW(Tasks[#Headers]),"000"))</f>
        <v/>
      </c>
      <c r="B117" s="15"/>
      <c r="C117" s="15"/>
      <c r="D117" s="15"/>
      <c r="E117" s="15"/>
      <c r="F117" s="16"/>
      <c r="G117" s="16"/>
      <c r="H117" s="16"/>
      <c r="I117" s="15"/>
      <c r="J117" s="15"/>
      <c r="K1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7" s="17" t="str">
        <f>IF(Tasks[[#This Row],[Task]]="","",IFERROR(VLOOKUP(IF(Tasks[[#This Row],[Effort]]="","M",Tasks[[#This Row],[Effort]]),EffortTable,2,FALSE),0))</f>
        <v/>
      </c>
      <c r="N117" t="str">
        <f>IF(Tasks[[#This Row],[Task]]="","",IFERROR(MATCH(Tasks[[#This Row],[Status]],{"Late","Blocked","Due soon"},0),9)*100000+N(Tasks[[#This Row],[Due]]))</f>
        <v/>
      </c>
      <c r="O117" t="str" cm="1">
        <f t="array" aca="1" ref="O1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7" t="str" cm="1">
        <f t="array" ref="P1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7" t="str" cm="1">
        <f t="array" ref="Q1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7" t="str" cm="1">
        <f t="array" ref="R1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8" spans="1:18" x14ac:dyDescent="0.25">
      <c r="A118" s="14" t="str" cm="1">
        <f t="array" ref="A118">IF(Tasks[[#This Row],[Task]]="","","T-"&amp;TEXT(ROW()-ROW(Tasks[#Headers]),"000"))</f>
        <v/>
      </c>
      <c r="B118" s="15"/>
      <c r="C118" s="15"/>
      <c r="D118" s="15"/>
      <c r="E118" s="15"/>
      <c r="F118" s="16"/>
      <c r="G118" s="16"/>
      <c r="H118" s="16"/>
      <c r="I118" s="15"/>
      <c r="J118" s="15"/>
      <c r="K1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8" s="17" t="str">
        <f>IF(Tasks[[#This Row],[Task]]="","",IFERROR(VLOOKUP(IF(Tasks[[#This Row],[Effort]]="","M",Tasks[[#This Row],[Effort]]),EffortTable,2,FALSE),0))</f>
        <v/>
      </c>
      <c r="N118" t="str">
        <f>IF(Tasks[[#This Row],[Task]]="","",IFERROR(MATCH(Tasks[[#This Row],[Status]],{"Late","Blocked","Due soon"},0),9)*100000+N(Tasks[[#This Row],[Due]]))</f>
        <v/>
      </c>
      <c r="O118" t="str" cm="1">
        <f t="array" aca="1" ref="O1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8" t="str" cm="1">
        <f t="array" ref="P1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8" t="str" cm="1">
        <f t="array" ref="Q1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8" t="str" cm="1">
        <f t="array" ref="R1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19" spans="1:18" x14ac:dyDescent="0.25">
      <c r="A119" s="14" t="str" cm="1">
        <f t="array" ref="A119">IF(Tasks[[#This Row],[Task]]="","","T-"&amp;TEXT(ROW()-ROW(Tasks[#Headers]),"000"))</f>
        <v/>
      </c>
      <c r="B119" s="15"/>
      <c r="C119" s="15"/>
      <c r="D119" s="15"/>
      <c r="E119" s="15"/>
      <c r="F119" s="16"/>
      <c r="G119" s="16"/>
      <c r="H119" s="16"/>
      <c r="I119" s="15"/>
      <c r="J119" s="15"/>
      <c r="K1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19" s="17" t="str">
        <f>IF(Tasks[[#This Row],[Task]]="","",IFERROR(VLOOKUP(IF(Tasks[[#This Row],[Effort]]="","M",Tasks[[#This Row],[Effort]]),EffortTable,2,FALSE),0))</f>
        <v/>
      </c>
      <c r="N119" t="str">
        <f>IF(Tasks[[#This Row],[Task]]="","",IFERROR(MATCH(Tasks[[#This Row],[Status]],{"Late","Blocked","Due soon"},0),9)*100000+N(Tasks[[#This Row],[Due]]))</f>
        <v/>
      </c>
      <c r="O119" t="str" cm="1">
        <f t="array" aca="1" ref="O1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19" t="str" cm="1">
        <f t="array" ref="P1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19" t="str" cm="1">
        <f t="array" ref="Q1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19" t="str" cm="1">
        <f t="array" ref="R1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0" spans="1:18" x14ac:dyDescent="0.25">
      <c r="A120" s="14" t="str" cm="1">
        <f t="array" ref="A120">IF(Tasks[[#This Row],[Task]]="","","T-"&amp;TEXT(ROW()-ROW(Tasks[#Headers]),"000"))</f>
        <v/>
      </c>
      <c r="B120" s="15"/>
      <c r="C120" s="15"/>
      <c r="D120" s="15"/>
      <c r="E120" s="15"/>
      <c r="F120" s="16"/>
      <c r="G120" s="16"/>
      <c r="H120" s="16"/>
      <c r="I120" s="15"/>
      <c r="J120" s="15"/>
      <c r="K1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0" s="17" t="str">
        <f>IF(Tasks[[#This Row],[Task]]="","",IFERROR(VLOOKUP(IF(Tasks[[#This Row],[Effort]]="","M",Tasks[[#This Row],[Effort]]),EffortTable,2,FALSE),0))</f>
        <v/>
      </c>
      <c r="N120" t="str">
        <f>IF(Tasks[[#This Row],[Task]]="","",IFERROR(MATCH(Tasks[[#This Row],[Status]],{"Late","Blocked","Due soon"},0),9)*100000+N(Tasks[[#This Row],[Due]]))</f>
        <v/>
      </c>
      <c r="O120" t="str" cm="1">
        <f t="array" aca="1" ref="O1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0" t="str" cm="1">
        <f t="array" ref="P1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0" t="str" cm="1">
        <f t="array" ref="Q1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0" t="str" cm="1">
        <f t="array" ref="R1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1" spans="1:18" x14ac:dyDescent="0.25">
      <c r="A121" s="14" t="str" cm="1">
        <f t="array" ref="A121">IF(Tasks[[#This Row],[Task]]="","","T-"&amp;TEXT(ROW()-ROW(Tasks[#Headers]),"000"))</f>
        <v/>
      </c>
      <c r="B121" s="15"/>
      <c r="C121" s="15"/>
      <c r="D121" s="15"/>
      <c r="E121" s="15"/>
      <c r="F121" s="16"/>
      <c r="G121" s="16"/>
      <c r="H121" s="16"/>
      <c r="I121" s="15"/>
      <c r="J121" s="15"/>
      <c r="K1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1" s="17" t="str">
        <f>IF(Tasks[[#This Row],[Task]]="","",IFERROR(VLOOKUP(IF(Tasks[[#This Row],[Effort]]="","M",Tasks[[#This Row],[Effort]]),EffortTable,2,FALSE),0))</f>
        <v/>
      </c>
      <c r="N121" t="str">
        <f>IF(Tasks[[#This Row],[Task]]="","",IFERROR(MATCH(Tasks[[#This Row],[Status]],{"Late","Blocked","Due soon"},0),9)*100000+N(Tasks[[#This Row],[Due]]))</f>
        <v/>
      </c>
      <c r="O121" t="str" cm="1">
        <f t="array" aca="1" ref="O1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1" t="str" cm="1">
        <f t="array" ref="P1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1" t="str" cm="1">
        <f t="array" ref="Q1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1" t="str" cm="1">
        <f t="array" ref="R1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2" spans="1:18" x14ac:dyDescent="0.25">
      <c r="A122" s="14" t="str" cm="1">
        <f t="array" ref="A122">IF(Tasks[[#This Row],[Task]]="","","T-"&amp;TEXT(ROW()-ROW(Tasks[#Headers]),"000"))</f>
        <v/>
      </c>
      <c r="B122" s="15"/>
      <c r="C122" s="15"/>
      <c r="D122" s="15"/>
      <c r="E122" s="15"/>
      <c r="F122" s="16"/>
      <c r="G122" s="16"/>
      <c r="H122" s="16"/>
      <c r="I122" s="15"/>
      <c r="J122" s="15"/>
      <c r="K1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2" s="17" t="str">
        <f>IF(Tasks[[#This Row],[Task]]="","",IFERROR(VLOOKUP(IF(Tasks[[#This Row],[Effort]]="","M",Tasks[[#This Row],[Effort]]),EffortTable,2,FALSE),0))</f>
        <v/>
      </c>
      <c r="N122" t="str">
        <f>IF(Tasks[[#This Row],[Task]]="","",IFERROR(MATCH(Tasks[[#This Row],[Status]],{"Late","Blocked","Due soon"},0),9)*100000+N(Tasks[[#This Row],[Due]]))</f>
        <v/>
      </c>
      <c r="O122" t="str" cm="1">
        <f t="array" aca="1" ref="O1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2" t="str" cm="1">
        <f t="array" ref="P1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2" t="str" cm="1">
        <f t="array" ref="Q1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2" t="str" cm="1">
        <f t="array" ref="R1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3" spans="1:18" x14ac:dyDescent="0.25">
      <c r="A123" s="14" t="str" cm="1">
        <f t="array" ref="A123">IF(Tasks[[#This Row],[Task]]="","","T-"&amp;TEXT(ROW()-ROW(Tasks[#Headers]),"000"))</f>
        <v/>
      </c>
      <c r="B123" s="15"/>
      <c r="C123" s="15"/>
      <c r="D123" s="15"/>
      <c r="E123" s="15"/>
      <c r="F123" s="16"/>
      <c r="G123" s="16"/>
      <c r="H123" s="16"/>
      <c r="I123" s="15"/>
      <c r="J123" s="15"/>
      <c r="K1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3" s="17" t="str">
        <f>IF(Tasks[[#This Row],[Task]]="","",IFERROR(VLOOKUP(IF(Tasks[[#This Row],[Effort]]="","M",Tasks[[#This Row],[Effort]]),EffortTable,2,FALSE),0))</f>
        <v/>
      </c>
      <c r="N123" t="str">
        <f>IF(Tasks[[#This Row],[Task]]="","",IFERROR(MATCH(Tasks[[#This Row],[Status]],{"Late","Blocked","Due soon"},0),9)*100000+N(Tasks[[#This Row],[Due]]))</f>
        <v/>
      </c>
      <c r="O123" t="str" cm="1">
        <f t="array" aca="1" ref="O1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3" t="str" cm="1">
        <f t="array" ref="P1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3" t="str" cm="1">
        <f t="array" ref="Q1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3" t="str" cm="1">
        <f t="array" ref="R1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4" spans="1:18" x14ac:dyDescent="0.25">
      <c r="A124" s="14" t="str" cm="1">
        <f t="array" ref="A124">IF(Tasks[[#This Row],[Task]]="","","T-"&amp;TEXT(ROW()-ROW(Tasks[#Headers]),"000"))</f>
        <v/>
      </c>
      <c r="B124" s="15"/>
      <c r="C124" s="15"/>
      <c r="D124" s="15"/>
      <c r="E124" s="15"/>
      <c r="F124" s="16"/>
      <c r="G124" s="16"/>
      <c r="H124" s="16"/>
      <c r="I124" s="15"/>
      <c r="J124" s="15"/>
      <c r="K1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4" s="17" t="str">
        <f>IF(Tasks[[#This Row],[Task]]="","",IFERROR(VLOOKUP(IF(Tasks[[#This Row],[Effort]]="","M",Tasks[[#This Row],[Effort]]),EffortTable,2,FALSE),0))</f>
        <v/>
      </c>
      <c r="N124" t="str">
        <f>IF(Tasks[[#This Row],[Task]]="","",IFERROR(MATCH(Tasks[[#This Row],[Status]],{"Late","Blocked","Due soon"},0),9)*100000+N(Tasks[[#This Row],[Due]]))</f>
        <v/>
      </c>
      <c r="O124" t="str" cm="1">
        <f t="array" aca="1" ref="O1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4" t="str" cm="1">
        <f t="array" ref="P1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4" t="str" cm="1">
        <f t="array" ref="Q1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4" t="str" cm="1">
        <f t="array" ref="R1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5" spans="1:18" x14ac:dyDescent="0.25">
      <c r="A125" s="14" t="str" cm="1">
        <f t="array" ref="A125">IF(Tasks[[#This Row],[Task]]="","","T-"&amp;TEXT(ROW()-ROW(Tasks[#Headers]),"000"))</f>
        <v/>
      </c>
      <c r="B125" s="15"/>
      <c r="C125" s="15"/>
      <c r="D125" s="15"/>
      <c r="E125" s="15"/>
      <c r="F125" s="16"/>
      <c r="G125" s="16"/>
      <c r="H125" s="16"/>
      <c r="I125" s="15"/>
      <c r="J125" s="15"/>
      <c r="K1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5" s="17" t="str">
        <f>IF(Tasks[[#This Row],[Task]]="","",IFERROR(VLOOKUP(IF(Tasks[[#This Row],[Effort]]="","M",Tasks[[#This Row],[Effort]]),EffortTable,2,FALSE),0))</f>
        <v/>
      </c>
      <c r="N125" t="str">
        <f>IF(Tasks[[#This Row],[Task]]="","",IFERROR(MATCH(Tasks[[#This Row],[Status]],{"Late","Blocked","Due soon"},0),9)*100000+N(Tasks[[#This Row],[Due]]))</f>
        <v/>
      </c>
      <c r="O125" t="str" cm="1">
        <f t="array" aca="1" ref="O1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5" t="str" cm="1">
        <f t="array" ref="P1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5" t="str" cm="1">
        <f t="array" ref="Q1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5" t="str" cm="1">
        <f t="array" ref="R1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6" spans="1:18" x14ac:dyDescent="0.25">
      <c r="A126" s="14" t="str" cm="1">
        <f t="array" ref="A126">IF(Tasks[[#This Row],[Task]]="","","T-"&amp;TEXT(ROW()-ROW(Tasks[#Headers]),"000"))</f>
        <v/>
      </c>
      <c r="B126" s="15"/>
      <c r="C126" s="15"/>
      <c r="D126" s="15"/>
      <c r="E126" s="15"/>
      <c r="F126" s="16"/>
      <c r="G126" s="16"/>
      <c r="H126" s="16"/>
      <c r="I126" s="15"/>
      <c r="J126" s="15"/>
      <c r="K1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6" s="17" t="str">
        <f>IF(Tasks[[#This Row],[Task]]="","",IFERROR(VLOOKUP(IF(Tasks[[#This Row],[Effort]]="","M",Tasks[[#This Row],[Effort]]),EffortTable,2,FALSE),0))</f>
        <v/>
      </c>
      <c r="N126" t="str">
        <f>IF(Tasks[[#This Row],[Task]]="","",IFERROR(MATCH(Tasks[[#This Row],[Status]],{"Late","Blocked","Due soon"},0),9)*100000+N(Tasks[[#This Row],[Due]]))</f>
        <v/>
      </c>
      <c r="O126" t="str" cm="1">
        <f t="array" aca="1" ref="O1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6" t="str" cm="1">
        <f t="array" ref="P1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6" t="str" cm="1">
        <f t="array" ref="Q1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6" t="str" cm="1">
        <f t="array" ref="R1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7" spans="1:18" x14ac:dyDescent="0.25">
      <c r="A127" s="14" t="str" cm="1">
        <f t="array" ref="A127">IF(Tasks[[#This Row],[Task]]="","","T-"&amp;TEXT(ROW()-ROW(Tasks[#Headers]),"000"))</f>
        <v/>
      </c>
      <c r="B127" s="15"/>
      <c r="C127" s="15"/>
      <c r="D127" s="15"/>
      <c r="E127" s="15"/>
      <c r="F127" s="16"/>
      <c r="G127" s="16"/>
      <c r="H127" s="16"/>
      <c r="I127" s="15"/>
      <c r="J127" s="15"/>
      <c r="K1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7" s="17" t="str">
        <f>IF(Tasks[[#This Row],[Task]]="","",IFERROR(VLOOKUP(IF(Tasks[[#This Row],[Effort]]="","M",Tasks[[#This Row],[Effort]]),EffortTable,2,FALSE),0))</f>
        <v/>
      </c>
      <c r="N127" t="str">
        <f>IF(Tasks[[#This Row],[Task]]="","",IFERROR(MATCH(Tasks[[#This Row],[Status]],{"Late","Blocked","Due soon"},0),9)*100000+N(Tasks[[#This Row],[Due]]))</f>
        <v/>
      </c>
      <c r="O127" t="str" cm="1">
        <f t="array" aca="1" ref="O1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7" t="str" cm="1">
        <f t="array" ref="P1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7" t="str" cm="1">
        <f t="array" ref="Q1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7" t="str" cm="1">
        <f t="array" ref="R1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8" spans="1:18" x14ac:dyDescent="0.25">
      <c r="A128" s="14" t="str" cm="1">
        <f t="array" ref="A128">IF(Tasks[[#This Row],[Task]]="","","T-"&amp;TEXT(ROW()-ROW(Tasks[#Headers]),"000"))</f>
        <v/>
      </c>
      <c r="B128" s="15"/>
      <c r="C128" s="15"/>
      <c r="D128" s="15"/>
      <c r="E128" s="15"/>
      <c r="F128" s="16"/>
      <c r="G128" s="16"/>
      <c r="H128" s="16"/>
      <c r="I128" s="15"/>
      <c r="J128" s="15"/>
      <c r="K1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8" s="17" t="str">
        <f>IF(Tasks[[#This Row],[Task]]="","",IFERROR(VLOOKUP(IF(Tasks[[#This Row],[Effort]]="","M",Tasks[[#This Row],[Effort]]),EffortTable,2,FALSE),0))</f>
        <v/>
      </c>
      <c r="N128" t="str">
        <f>IF(Tasks[[#This Row],[Task]]="","",IFERROR(MATCH(Tasks[[#This Row],[Status]],{"Late","Blocked","Due soon"},0),9)*100000+N(Tasks[[#This Row],[Due]]))</f>
        <v/>
      </c>
      <c r="O128" t="str" cm="1">
        <f t="array" aca="1" ref="O1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8" t="str" cm="1">
        <f t="array" ref="P1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8" t="str" cm="1">
        <f t="array" ref="Q1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8" t="str" cm="1">
        <f t="array" ref="R1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29" spans="1:18" x14ac:dyDescent="0.25">
      <c r="A129" s="14" t="str" cm="1">
        <f t="array" ref="A129">IF(Tasks[[#This Row],[Task]]="","","T-"&amp;TEXT(ROW()-ROW(Tasks[#Headers]),"000"))</f>
        <v/>
      </c>
      <c r="B129" s="15"/>
      <c r="C129" s="15"/>
      <c r="D129" s="15"/>
      <c r="E129" s="15"/>
      <c r="F129" s="16"/>
      <c r="G129" s="16"/>
      <c r="H129" s="16"/>
      <c r="I129" s="15"/>
      <c r="J129" s="15"/>
      <c r="K1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29" s="17" t="str">
        <f>IF(Tasks[[#This Row],[Task]]="","",IFERROR(VLOOKUP(IF(Tasks[[#This Row],[Effort]]="","M",Tasks[[#This Row],[Effort]]),EffortTable,2,FALSE),0))</f>
        <v/>
      </c>
      <c r="N129" t="str">
        <f>IF(Tasks[[#This Row],[Task]]="","",IFERROR(MATCH(Tasks[[#This Row],[Status]],{"Late","Blocked","Due soon"},0),9)*100000+N(Tasks[[#This Row],[Due]]))</f>
        <v/>
      </c>
      <c r="O129" t="str" cm="1">
        <f t="array" aca="1" ref="O1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29" t="str" cm="1">
        <f t="array" ref="P1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29" t="str" cm="1">
        <f t="array" ref="Q1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29" t="str" cm="1">
        <f t="array" ref="R1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0" spans="1:18" x14ac:dyDescent="0.25">
      <c r="A130" s="14" t="str" cm="1">
        <f t="array" ref="A130">IF(Tasks[[#This Row],[Task]]="","","T-"&amp;TEXT(ROW()-ROW(Tasks[#Headers]),"000"))</f>
        <v/>
      </c>
      <c r="B130" s="15"/>
      <c r="C130" s="15"/>
      <c r="D130" s="15"/>
      <c r="E130" s="15"/>
      <c r="F130" s="16"/>
      <c r="G130" s="16"/>
      <c r="H130" s="16"/>
      <c r="I130" s="15"/>
      <c r="J130" s="15"/>
      <c r="K1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0" s="17" t="str">
        <f>IF(Tasks[[#This Row],[Task]]="","",IFERROR(VLOOKUP(IF(Tasks[[#This Row],[Effort]]="","M",Tasks[[#This Row],[Effort]]),EffortTable,2,FALSE),0))</f>
        <v/>
      </c>
      <c r="N130" t="str">
        <f>IF(Tasks[[#This Row],[Task]]="","",IFERROR(MATCH(Tasks[[#This Row],[Status]],{"Late","Blocked","Due soon"},0),9)*100000+N(Tasks[[#This Row],[Due]]))</f>
        <v/>
      </c>
      <c r="O130" t="str" cm="1">
        <f t="array" aca="1" ref="O1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0" t="str" cm="1">
        <f t="array" ref="P1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0" t="str" cm="1">
        <f t="array" ref="Q1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0" t="str" cm="1">
        <f t="array" ref="R1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1" spans="1:18" x14ac:dyDescent="0.25">
      <c r="A131" s="14" t="str" cm="1">
        <f t="array" ref="A131">IF(Tasks[[#This Row],[Task]]="","","T-"&amp;TEXT(ROW()-ROW(Tasks[#Headers]),"000"))</f>
        <v/>
      </c>
      <c r="B131" s="15"/>
      <c r="C131" s="15"/>
      <c r="D131" s="15"/>
      <c r="E131" s="15"/>
      <c r="F131" s="16"/>
      <c r="G131" s="16"/>
      <c r="H131" s="16"/>
      <c r="I131" s="15"/>
      <c r="J131" s="15"/>
      <c r="K1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1" s="17" t="str">
        <f>IF(Tasks[[#This Row],[Task]]="","",IFERROR(VLOOKUP(IF(Tasks[[#This Row],[Effort]]="","M",Tasks[[#This Row],[Effort]]),EffortTable,2,FALSE),0))</f>
        <v/>
      </c>
      <c r="N131" t="str">
        <f>IF(Tasks[[#This Row],[Task]]="","",IFERROR(MATCH(Tasks[[#This Row],[Status]],{"Late","Blocked","Due soon"},0),9)*100000+N(Tasks[[#This Row],[Due]]))</f>
        <v/>
      </c>
      <c r="O131" t="str" cm="1">
        <f t="array" aca="1" ref="O1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1" t="str" cm="1">
        <f t="array" ref="P1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1" t="str" cm="1">
        <f t="array" ref="Q1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1" t="str" cm="1">
        <f t="array" ref="R1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2" spans="1:18" x14ac:dyDescent="0.25">
      <c r="A132" s="14" t="str" cm="1">
        <f t="array" ref="A132">IF(Tasks[[#This Row],[Task]]="","","T-"&amp;TEXT(ROW()-ROW(Tasks[#Headers]),"000"))</f>
        <v/>
      </c>
      <c r="B132" s="15"/>
      <c r="C132" s="15"/>
      <c r="D132" s="15"/>
      <c r="E132" s="15"/>
      <c r="F132" s="16"/>
      <c r="G132" s="16"/>
      <c r="H132" s="16"/>
      <c r="I132" s="15"/>
      <c r="J132" s="15"/>
      <c r="K1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2" s="17" t="str">
        <f>IF(Tasks[[#This Row],[Task]]="","",IFERROR(VLOOKUP(IF(Tasks[[#This Row],[Effort]]="","M",Tasks[[#This Row],[Effort]]),EffortTable,2,FALSE),0))</f>
        <v/>
      </c>
      <c r="N132" t="str">
        <f>IF(Tasks[[#This Row],[Task]]="","",IFERROR(MATCH(Tasks[[#This Row],[Status]],{"Late","Blocked","Due soon"},0),9)*100000+N(Tasks[[#This Row],[Due]]))</f>
        <v/>
      </c>
      <c r="O132" t="str" cm="1">
        <f t="array" aca="1" ref="O1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2" t="str" cm="1">
        <f t="array" ref="P1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2" t="str" cm="1">
        <f t="array" ref="Q1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2" t="str" cm="1">
        <f t="array" ref="R1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3" spans="1:18" x14ac:dyDescent="0.25">
      <c r="A133" s="14" t="str" cm="1">
        <f t="array" ref="A133">IF(Tasks[[#This Row],[Task]]="","","T-"&amp;TEXT(ROW()-ROW(Tasks[#Headers]),"000"))</f>
        <v/>
      </c>
      <c r="B133" s="15"/>
      <c r="C133" s="15"/>
      <c r="D133" s="15"/>
      <c r="E133" s="15"/>
      <c r="F133" s="16"/>
      <c r="G133" s="16"/>
      <c r="H133" s="16"/>
      <c r="I133" s="15"/>
      <c r="J133" s="15"/>
      <c r="K1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3" s="17" t="str">
        <f>IF(Tasks[[#This Row],[Task]]="","",IFERROR(VLOOKUP(IF(Tasks[[#This Row],[Effort]]="","M",Tasks[[#This Row],[Effort]]),EffortTable,2,FALSE),0))</f>
        <v/>
      </c>
      <c r="N133" t="str">
        <f>IF(Tasks[[#This Row],[Task]]="","",IFERROR(MATCH(Tasks[[#This Row],[Status]],{"Late","Blocked","Due soon"},0),9)*100000+N(Tasks[[#This Row],[Due]]))</f>
        <v/>
      </c>
      <c r="O133" t="str" cm="1">
        <f t="array" aca="1" ref="O1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3" t="str" cm="1">
        <f t="array" ref="P1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3" t="str" cm="1">
        <f t="array" ref="Q1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3" t="str" cm="1">
        <f t="array" ref="R1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4" spans="1:18" x14ac:dyDescent="0.25">
      <c r="A134" s="14" t="str" cm="1">
        <f t="array" ref="A134">IF(Tasks[[#This Row],[Task]]="","","T-"&amp;TEXT(ROW()-ROW(Tasks[#Headers]),"000"))</f>
        <v/>
      </c>
      <c r="B134" s="15"/>
      <c r="C134" s="15"/>
      <c r="D134" s="15"/>
      <c r="E134" s="15"/>
      <c r="F134" s="16"/>
      <c r="G134" s="16"/>
      <c r="H134" s="16"/>
      <c r="I134" s="15"/>
      <c r="J134" s="15"/>
      <c r="K1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4" s="17" t="str">
        <f>IF(Tasks[[#This Row],[Task]]="","",IFERROR(VLOOKUP(IF(Tasks[[#This Row],[Effort]]="","M",Tasks[[#This Row],[Effort]]),EffortTable,2,FALSE),0))</f>
        <v/>
      </c>
      <c r="N134" t="str">
        <f>IF(Tasks[[#This Row],[Task]]="","",IFERROR(MATCH(Tasks[[#This Row],[Status]],{"Late","Blocked","Due soon"},0),9)*100000+N(Tasks[[#This Row],[Due]]))</f>
        <v/>
      </c>
      <c r="O134" t="str" cm="1">
        <f t="array" aca="1" ref="O1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4" t="str" cm="1">
        <f t="array" ref="P1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4" t="str" cm="1">
        <f t="array" ref="Q1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4" t="str" cm="1">
        <f t="array" ref="R1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5" spans="1:18" x14ac:dyDescent="0.25">
      <c r="A135" s="14" t="str" cm="1">
        <f t="array" ref="A135">IF(Tasks[[#This Row],[Task]]="","","T-"&amp;TEXT(ROW()-ROW(Tasks[#Headers]),"000"))</f>
        <v/>
      </c>
      <c r="B135" s="15"/>
      <c r="C135" s="15"/>
      <c r="D135" s="15"/>
      <c r="E135" s="15"/>
      <c r="F135" s="16"/>
      <c r="G135" s="16"/>
      <c r="H135" s="16"/>
      <c r="I135" s="15"/>
      <c r="J135" s="15"/>
      <c r="K1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5" s="17" t="str">
        <f>IF(Tasks[[#This Row],[Task]]="","",IFERROR(VLOOKUP(IF(Tasks[[#This Row],[Effort]]="","M",Tasks[[#This Row],[Effort]]),EffortTable,2,FALSE),0))</f>
        <v/>
      </c>
      <c r="N135" t="str">
        <f>IF(Tasks[[#This Row],[Task]]="","",IFERROR(MATCH(Tasks[[#This Row],[Status]],{"Late","Blocked","Due soon"},0),9)*100000+N(Tasks[[#This Row],[Due]]))</f>
        <v/>
      </c>
      <c r="O135" t="str" cm="1">
        <f t="array" aca="1" ref="O1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5" t="str" cm="1">
        <f t="array" ref="P1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5" t="str" cm="1">
        <f t="array" ref="Q1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5" t="str" cm="1">
        <f t="array" ref="R1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6" spans="1:18" x14ac:dyDescent="0.25">
      <c r="A136" s="14" t="str" cm="1">
        <f t="array" ref="A136">IF(Tasks[[#This Row],[Task]]="","","T-"&amp;TEXT(ROW()-ROW(Tasks[#Headers]),"000"))</f>
        <v/>
      </c>
      <c r="B136" s="15"/>
      <c r="C136" s="15"/>
      <c r="D136" s="15"/>
      <c r="E136" s="15"/>
      <c r="F136" s="16"/>
      <c r="G136" s="16"/>
      <c r="H136" s="16"/>
      <c r="I136" s="15"/>
      <c r="J136" s="15"/>
      <c r="K1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6" s="17" t="str">
        <f>IF(Tasks[[#This Row],[Task]]="","",IFERROR(VLOOKUP(IF(Tasks[[#This Row],[Effort]]="","M",Tasks[[#This Row],[Effort]]),EffortTable,2,FALSE),0))</f>
        <v/>
      </c>
      <c r="N136" t="str">
        <f>IF(Tasks[[#This Row],[Task]]="","",IFERROR(MATCH(Tasks[[#This Row],[Status]],{"Late","Blocked","Due soon"},0),9)*100000+N(Tasks[[#This Row],[Due]]))</f>
        <v/>
      </c>
      <c r="O136" t="str" cm="1">
        <f t="array" aca="1" ref="O1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6" t="str" cm="1">
        <f t="array" ref="P1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6" t="str" cm="1">
        <f t="array" ref="Q1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6" t="str" cm="1">
        <f t="array" ref="R1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7" spans="1:18" x14ac:dyDescent="0.25">
      <c r="A137" s="14" t="str" cm="1">
        <f t="array" ref="A137">IF(Tasks[[#This Row],[Task]]="","","T-"&amp;TEXT(ROW()-ROW(Tasks[#Headers]),"000"))</f>
        <v/>
      </c>
      <c r="B137" s="15"/>
      <c r="C137" s="15"/>
      <c r="D137" s="15"/>
      <c r="E137" s="15"/>
      <c r="F137" s="16"/>
      <c r="G137" s="16"/>
      <c r="H137" s="16"/>
      <c r="I137" s="15"/>
      <c r="J137" s="15"/>
      <c r="K1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7" s="17" t="str">
        <f>IF(Tasks[[#This Row],[Task]]="","",IFERROR(VLOOKUP(IF(Tasks[[#This Row],[Effort]]="","M",Tasks[[#This Row],[Effort]]),EffortTable,2,FALSE),0))</f>
        <v/>
      </c>
      <c r="N137" t="str">
        <f>IF(Tasks[[#This Row],[Task]]="","",IFERROR(MATCH(Tasks[[#This Row],[Status]],{"Late","Blocked","Due soon"},0),9)*100000+N(Tasks[[#This Row],[Due]]))</f>
        <v/>
      </c>
      <c r="O137" t="str" cm="1">
        <f t="array" aca="1" ref="O1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7" t="str" cm="1">
        <f t="array" ref="P1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7" t="str" cm="1">
        <f t="array" ref="Q1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7" t="str" cm="1">
        <f t="array" ref="R1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8" spans="1:18" x14ac:dyDescent="0.25">
      <c r="A138" s="14" t="str" cm="1">
        <f t="array" ref="A138">IF(Tasks[[#This Row],[Task]]="","","T-"&amp;TEXT(ROW()-ROW(Tasks[#Headers]),"000"))</f>
        <v/>
      </c>
      <c r="B138" s="15"/>
      <c r="C138" s="15"/>
      <c r="D138" s="15"/>
      <c r="E138" s="15"/>
      <c r="F138" s="16"/>
      <c r="G138" s="16"/>
      <c r="H138" s="16"/>
      <c r="I138" s="15"/>
      <c r="J138" s="15"/>
      <c r="K1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8" s="17" t="str">
        <f>IF(Tasks[[#This Row],[Task]]="","",IFERROR(VLOOKUP(IF(Tasks[[#This Row],[Effort]]="","M",Tasks[[#This Row],[Effort]]),EffortTable,2,FALSE),0))</f>
        <v/>
      </c>
      <c r="N138" t="str">
        <f>IF(Tasks[[#This Row],[Task]]="","",IFERROR(MATCH(Tasks[[#This Row],[Status]],{"Late","Blocked","Due soon"},0),9)*100000+N(Tasks[[#This Row],[Due]]))</f>
        <v/>
      </c>
      <c r="O138" t="str" cm="1">
        <f t="array" aca="1" ref="O1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8" t="str" cm="1">
        <f t="array" ref="P1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8" t="str" cm="1">
        <f t="array" ref="Q1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8" t="str" cm="1">
        <f t="array" ref="R1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39" spans="1:18" x14ac:dyDescent="0.25">
      <c r="A139" s="14" t="str" cm="1">
        <f t="array" ref="A139">IF(Tasks[[#This Row],[Task]]="","","T-"&amp;TEXT(ROW()-ROW(Tasks[#Headers]),"000"))</f>
        <v/>
      </c>
      <c r="B139" s="15"/>
      <c r="C139" s="15"/>
      <c r="D139" s="15"/>
      <c r="E139" s="15"/>
      <c r="F139" s="16"/>
      <c r="G139" s="16"/>
      <c r="H139" s="16"/>
      <c r="I139" s="15"/>
      <c r="J139" s="15"/>
      <c r="K1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39" s="17" t="str">
        <f>IF(Tasks[[#This Row],[Task]]="","",IFERROR(VLOOKUP(IF(Tasks[[#This Row],[Effort]]="","M",Tasks[[#This Row],[Effort]]),EffortTable,2,FALSE),0))</f>
        <v/>
      </c>
      <c r="N139" t="str">
        <f>IF(Tasks[[#This Row],[Task]]="","",IFERROR(MATCH(Tasks[[#This Row],[Status]],{"Late","Blocked","Due soon"},0),9)*100000+N(Tasks[[#This Row],[Due]]))</f>
        <v/>
      </c>
      <c r="O139" t="str" cm="1">
        <f t="array" aca="1" ref="O1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39" t="str" cm="1">
        <f t="array" ref="P1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39" t="str" cm="1">
        <f t="array" ref="Q1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39" t="str" cm="1">
        <f t="array" ref="R1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0" spans="1:18" x14ac:dyDescent="0.25">
      <c r="A140" s="14" t="str" cm="1">
        <f t="array" ref="A140">IF(Tasks[[#This Row],[Task]]="","","T-"&amp;TEXT(ROW()-ROW(Tasks[#Headers]),"000"))</f>
        <v/>
      </c>
      <c r="B140" s="15"/>
      <c r="C140" s="15"/>
      <c r="D140" s="15"/>
      <c r="E140" s="15"/>
      <c r="F140" s="16"/>
      <c r="G140" s="16"/>
      <c r="H140" s="16"/>
      <c r="I140" s="15"/>
      <c r="J140" s="15"/>
      <c r="K1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0" s="17" t="str">
        <f>IF(Tasks[[#This Row],[Task]]="","",IFERROR(VLOOKUP(IF(Tasks[[#This Row],[Effort]]="","M",Tasks[[#This Row],[Effort]]),EffortTable,2,FALSE),0))</f>
        <v/>
      </c>
      <c r="N140" t="str">
        <f>IF(Tasks[[#This Row],[Task]]="","",IFERROR(MATCH(Tasks[[#This Row],[Status]],{"Late","Blocked","Due soon"},0),9)*100000+N(Tasks[[#This Row],[Due]]))</f>
        <v/>
      </c>
      <c r="O140" t="str" cm="1">
        <f t="array" aca="1" ref="O1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0" t="str" cm="1">
        <f t="array" ref="P1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0" t="str" cm="1">
        <f t="array" ref="Q1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0" t="str" cm="1">
        <f t="array" ref="R1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1" spans="1:18" x14ac:dyDescent="0.25">
      <c r="A141" s="14" t="str" cm="1">
        <f t="array" ref="A141">IF(Tasks[[#This Row],[Task]]="","","T-"&amp;TEXT(ROW()-ROW(Tasks[#Headers]),"000"))</f>
        <v/>
      </c>
      <c r="B141" s="15"/>
      <c r="C141" s="15"/>
      <c r="D141" s="15"/>
      <c r="E141" s="15"/>
      <c r="F141" s="16"/>
      <c r="G141" s="16"/>
      <c r="H141" s="16"/>
      <c r="I141" s="15"/>
      <c r="J141" s="15"/>
      <c r="K1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1" s="17" t="str">
        <f>IF(Tasks[[#This Row],[Task]]="","",IFERROR(VLOOKUP(IF(Tasks[[#This Row],[Effort]]="","M",Tasks[[#This Row],[Effort]]),EffortTable,2,FALSE),0))</f>
        <v/>
      </c>
      <c r="N141" t="str">
        <f>IF(Tasks[[#This Row],[Task]]="","",IFERROR(MATCH(Tasks[[#This Row],[Status]],{"Late","Blocked","Due soon"},0),9)*100000+N(Tasks[[#This Row],[Due]]))</f>
        <v/>
      </c>
      <c r="O141" t="str" cm="1">
        <f t="array" aca="1" ref="O1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1" t="str" cm="1">
        <f t="array" ref="P1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1" t="str" cm="1">
        <f t="array" ref="Q1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1" t="str" cm="1">
        <f t="array" ref="R1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2" spans="1:18" x14ac:dyDescent="0.25">
      <c r="A142" s="14" t="str" cm="1">
        <f t="array" ref="A142">IF(Tasks[[#This Row],[Task]]="","","T-"&amp;TEXT(ROW()-ROW(Tasks[#Headers]),"000"))</f>
        <v/>
      </c>
      <c r="B142" s="15"/>
      <c r="C142" s="15"/>
      <c r="D142" s="15"/>
      <c r="E142" s="15"/>
      <c r="F142" s="16"/>
      <c r="G142" s="16"/>
      <c r="H142" s="16"/>
      <c r="I142" s="15"/>
      <c r="J142" s="15"/>
      <c r="K1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2" s="17" t="str">
        <f>IF(Tasks[[#This Row],[Task]]="","",IFERROR(VLOOKUP(IF(Tasks[[#This Row],[Effort]]="","M",Tasks[[#This Row],[Effort]]),EffortTable,2,FALSE),0))</f>
        <v/>
      </c>
      <c r="N142" t="str">
        <f>IF(Tasks[[#This Row],[Task]]="","",IFERROR(MATCH(Tasks[[#This Row],[Status]],{"Late","Blocked","Due soon"},0),9)*100000+N(Tasks[[#This Row],[Due]]))</f>
        <v/>
      </c>
      <c r="O142" t="str" cm="1">
        <f t="array" aca="1" ref="O1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2" t="str" cm="1">
        <f t="array" ref="P1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2" t="str" cm="1">
        <f t="array" ref="Q1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2" t="str" cm="1">
        <f t="array" ref="R1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3" spans="1:18" x14ac:dyDescent="0.25">
      <c r="A143" s="14" t="str" cm="1">
        <f t="array" ref="A143">IF(Tasks[[#This Row],[Task]]="","","T-"&amp;TEXT(ROW()-ROW(Tasks[#Headers]),"000"))</f>
        <v/>
      </c>
      <c r="B143" s="15"/>
      <c r="C143" s="15"/>
      <c r="D143" s="15"/>
      <c r="E143" s="15"/>
      <c r="F143" s="16"/>
      <c r="G143" s="16"/>
      <c r="H143" s="16"/>
      <c r="I143" s="15"/>
      <c r="J143" s="15"/>
      <c r="K1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3" s="17" t="str">
        <f>IF(Tasks[[#This Row],[Task]]="","",IFERROR(VLOOKUP(IF(Tasks[[#This Row],[Effort]]="","M",Tasks[[#This Row],[Effort]]),EffortTable,2,FALSE),0))</f>
        <v/>
      </c>
      <c r="N143" t="str">
        <f>IF(Tasks[[#This Row],[Task]]="","",IFERROR(MATCH(Tasks[[#This Row],[Status]],{"Late","Blocked","Due soon"},0),9)*100000+N(Tasks[[#This Row],[Due]]))</f>
        <v/>
      </c>
      <c r="O143" t="str" cm="1">
        <f t="array" aca="1" ref="O1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3" t="str" cm="1">
        <f t="array" ref="P1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3" t="str" cm="1">
        <f t="array" ref="Q1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3" t="str" cm="1">
        <f t="array" ref="R1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4" spans="1:18" x14ac:dyDescent="0.25">
      <c r="A144" s="14" t="str" cm="1">
        <f t="array" ref="A144">IF(Tasks[[#This Row],[Task]]="","","T-"&amp;TEXT(ROW()-ROW(Tasks[#Headers]),"000"))</f>
        <v/>
      </c>
      <c r="B144" s="15"/>
      <c r="C144" s="15"/>
      <c r="D144" s="15"/>
      <c r="E144" s="15"/>
      <c r="F144" s="16"/>
      <c r="G144" s="16"/>
      <c r="H144" s="16"/>
      <c r="I144" s="15"/>
      <c r="J144" s="15"/>
      <c r="K1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4" s="17" t="str">
        <f>IF(Tasks[[#This Row],[Task]]="","",IFERROR(VLOOKUP(IF(Tasks[[#This Row],[Effort]]="","M",Tasks[[#This Row],[Effort]]),EffortTable,2,FALSE),0))</f>
        <v/>
      </c>
      <c r="N144" t="str">
        <f>IF(Tasks[[#This Row],[Task]]="","",IFERROR(MATCH(Tasks[[#This Row],[Status]],{"Late","Blocked","Due soon"},0),9)*100000+N(Tasks[[#This Row],[Due]]))</f>
        <v/>
      </c>
      <c r="O144" t="str" cm="1">
        <f t="array" aca="1" ref="O1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4" t="str" cm="1">
        <f t="array" ref="P1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4" t="str" cm="1">
        <f t="array" ref="Q1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4" t="str" cm="1">
        <f t="array" ref="R1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5" spans="1:18" x14ac:dyDescent="0.25">
      <c r="A145" s="14" t="str" cm="1">
        <f t="array" ref="A145">IF(Tasks[[#This Row],[Task]]="","","T-"&amp;TEXT(ROW()-ROW(Tasks[#Headers]),"000"))</f>
        <v/>
      </c>
      <c r="B145" s="15"/>
      <c r="C145" s="15"/>
      <c r="D145" s="15"/>
      <c r="E145" s="15"/>
      <c r="F145" s="16"/>
      <c r="G145" s="16"/>
      <c r="H145" s="16"/>
      <c r="I145" s="15"/>
      <c r="J145" s="15"/>
      <c r="K1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5" s="17" t="str">
        <f>IF(Tasks[[#This Row],[Task]]="","",IFERROR(VLOOKUP(IF(Tasks[[#This Row],[Effort]]="","M",Tasks[[#This Row],[Effort]]),EffortTable,2,FALSE),0))</f>
        <v/>
      </c>
      <c r="N145" t="str">
        <f>IF(Tasks[[#This Row],[Task]]="","",IFERROR(MATCH(Tasks[[#This Row],[Status]],{"Late","Blocked","Due soon"},0),9)*100000+N(Tasks[[#This Row],[Due]]))</f>
        <v/>
      </c>
      <c r="O145" t="str" cm="1">
        <f t="array" aca="1" ref="O1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5" t="str" cm="1">
        <f t="array" ref="P1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5" t="str" cm="1">
        <f t="array" ref="Q1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5" t="str" cm="1">
        <f t="array" ref="R1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6" spans="1:18" x14ac:dyDescent="0.25">
      <c r="A146" s="14" t="str" cm="1">
        <f t="array" ref="A146">IF(Tasks[[#This Row],[Task]]="","","T-"&amp;TEXT(ROW()-ROW(Tasks[#Headers]),"000"))</f>
        <v/>
      </c>
      <c r="B146" s="15"/>
      <c r="C146" s="15"/>
      <c r="D146" s="15"/>
      <c r="E146" s="15"/>
      <c r="F146" s="16"/>
      <c r="G146" s="16"/>
      <c r="H146" s="16"/>
      <c r="I146" s="15"/>
      <c r="J146" s="15"/>
      <c r="K1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6" s="17" t="str">
        <f>IF(Tasks[[#This Row],[Task]]="","",IFERROR(VLOOKUP(IF(Tasks[[#This Row],[Effort]]="","M",Tasks[[#This Row],[Effort]]),EffortTable,2,FALSE),0))</f>
        <v/>
      </c>
      <c r="N146" t="str">
        <f>IF(Tasks[[#This Row],[Task]]="","",IFERROR(MATCH(Tasks[[#This Row],[Status]],{"Late","Blocked","Due soon"},0),9)*100000+N(Tasks[[#This Row],[Due]]))</f>
        <v/>
      </c>
      <c r="O146" t="str" cm="1">
        <f t="array" aca="1" ref="O1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6" t="str" cm="1">
        <f t="array" ref="P1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6" t="str" cm="1">
        <f t="array" ref="Q1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6" t="str" cm="1">
        <f t="array" ref="R1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7" spans="1:18" x14ac:dyDescent="0.25">
      <c r="A147" s="14" t="str" cm="1">
        <f t="array" ref="A147">IF(Tasks[[#This Row],[Task]]="","","T-"&amp;TEXT(ROW()-ROW(Tasks[#Headers]),"000"))</f>
        <v/>
      </c>
      <c r="B147" s="15"/>
      <c r="C147" s="15"/>
      <c r="D147" s="15"/>
      <c r="E147" s="15"/>
      <c r="F147" s="16"/>
      <c r="G147" s="16"/>
      <c r="H147" s="16"/>
      <c r="I147" s="15"/>
      <c r="J147" s="15"/>
      <c r="K1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7" s="17" t="str">
        <f>IF(Tasks[[#This Row],[Task]]="","",IFERROR(VLOOKUP(IF(Tasks[[#This Row],[Effort]]="","M",Tasks[[#This Row],[Effort]]),EffortTable,2,FALSE),0))</f>
        <v/>
      </c>
      <c r="N147" t="str">
        <f>IF(Tasks[[#This Row],[Task]]="","",IFERROR(MATCH(Tasks[[#This Row],[Status]],{"Late","Blocked","Due soon"},0),9)*100000+N(Tasks[[#This Row],[Due]]))</f>
        <v/>
      </c>
      <c r="O147" t="str" cm="1">
        <f t="array" aca="1" ref="O1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7" t="str" cm="1">
        <f t="array" ref="P1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7" t="str" cm="1">
        <f t="array" ref="Q1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7" t="str" cm="1">
        <f t="array" ref="R1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8" spans="1:18" x14ac:dyDescent="0.25">
      <c r="A148" s="14" t="str" cm="1">
        <f t="array" ref="A148">IF(Tasks[[#This Row],[Task]]="","","T-"&amp;TEXT(ROW()-ROW(Tasks[#Headers]),"000"))</f>
        <v/>
      </c>
      <c r="B148" s="15"/>
      <c r="C148" s="15"/>
      <c r="D148" s="15"/>
      <c r="E148" s="15"/>
      <c r="F148" s="16"/>
      <c r="G148" s="16"/>
      <c r="H148" s="16"/>
      <c r="I148" s="15"/>
      <c r="J148" s="15"/>
      <c r="K1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8" s="17" t="str">
        <f>IF(Tasks[[#This Row],[Task]]="","",IFERROR(VLOOKUP(IF(Tasks[[#This Row],[Effort]]="","M",Tasks[[#This Row],[Effort]]),EffortTable,2,FALSE),0))</f>
        <v/>
      </c>
      <c r="N148" t="str">
        <f>IF(Tasks[[#This Row],[Task]]="","",IFERROR(MATCH(Tasks[[#This Row],[Status]],{"Late","Blocked","Due soon"},0),9)*100000+N(Tasks[[#This Row],[Due]]))</f>
        <v/>
      </c>
      <c r="O148" t="str" cm="1">
        <f t="array" aca="1" ref="O1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8" t="str" cm="1">
        <f t="array" ref="P1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8" t="str" cm="1">
        <f t="array" ref="Q1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8" t="str" cm="1">
        <f t="array" ref="R1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49" spans="1:18" x14ac:dyDescent="0.25">
      <c r="A149" s="14" t="str" cm="1">
        <f t="array" ref="A149">IF(Tasks[[#This Row],[Task]]="","","T-"&amp;TEXT(ROW()-ROW(Tasks[#Headers]),"000"))</f>
        <v/>
      </c>
      <c r="B149" s="15"/>
      <c r="C149" s="15"/>
      <c r="D149" s="15"/>
      <c r="E149" s="15"/>
      <c r="F149" s="16"/>
      <c r="G149" s="16"/>
      <c r="H149" s="16"/>
      <c r="I149" s="15"/>
      <c r="J149" s="15"/>
      <c r="K1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49" s="17" t="str">
        <f>IF(Tasks[[#This Row],[Task]]="","",IFERROR(VLOOKUP(IF(Tasks[[#This Row],[Effort]]="","M",Tasks[[#This Row],[Effort]]),EffortTable,2,FALSE),0))</f>
        <v/>
      </c>
      <c r="N149" t="str">
        <f>IF(Tasks[[#This Row],[Task]]="","",IFERROR(MATCH(Tasks[[#This Row],[Status]],{"Late","Blocked","Due soon"},0),9)*100000+N(Tasks[[#This Row],[Due]]))</f>
        <v/>
      </c>
      <c r="O149" t="str" cm="1">
        <f t="array" aca="1" ref="O1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49" t="str" cm="1">
        <f t="array" ref="P1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49" t="str" cm="1">
        <f t="array" ref="Q1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49" t="str" cm="1">
        <f t="array" ref="R1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0" spans="1:18" x14ac:dyDescent="0.25">
      <c r="A150" s="14" t="str" cm="1">
        <f t="array" ref="A150">IF(Tasks[[#This Row],[Task]]="","","T-"&amp;TEXT(ROW()-ROW(Tasks[#Headers]),"000"))</f>
        <v/>
      </c>
      <c r="B150" s="15"/>
      <c r="C150" s="15"/>
      <c r="D150" s="15"/>
      <c r="E150" s="15"/>
      <c r="F150" s="16"/>
      <c r="G150" s="16"/>
      <c r="H150" s="16"/>
      <c r="I150" s="15"/>
      <c r="J150" s="15"/>
      <c r="K1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0" s="17" t="str">
        <f>IF(Tasks[[#This Row],[Task]]="","",IFERROR(VLOOKUP(IF(Tasks[[#This Row],[Effort]]="","M",Tasks[[#This Row],[Effort]]),EffortTable,2,FALSE),0))</f>
        <v/>
      </c>
      <c r="N150" t="str">
        <f>IF(Tasks[[#This Row],[Task]]="","",IFERROR(MATCH(Tasks[[#This Row],[Status]],{"Late","Blocked","Due soon"},0),9)*100000+N(Tasks[[#This Row],[Due]]))</f>
        <v/>
      </c>
      <c r="O150" t="str" cm="1">
        <f t="array" aca="1" ref="O1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0" t="str" cm="1">
        <f t="array" ref="P1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0" t="str" cm="1">
        <f t="array" ref="Q1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0" t="str" cm="1">
        <f t="array" ref="R1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1" spans="1:18" x14ac:dyDescent="0.25">
      <c r="A151" s="14" t="str" cm="1">
        <f t="array" ref="A151">IF(Tasks[[#This Row],[Task]]="","","T-"&amp;TEXT(ROW()-ROW(Tasks[#Headers]),"000"))</f>
        <v/>
      </c>
      <c r="B151" s="15"/>
      <c r="C151" s="15"/>
      <c r="D151" s="15"/>
      <c r="E151" s="15"/>
      <c r="F151" s="16"/>
      <c r="G151" s="16"/>
      <c r="H151" s="16"/>
      <c r="I151" s="15"/>
      <c r="J151" s="15"/>
      <c r="K1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1" s="17" t="str">
        <f>IF(Tasks[[#This Row],[Task]]="","",IFERROR(VLOOKUP(IF(Tasks[[#This Row],[Effort]]="","M",Tasks[[#This Row],[Effort]]),EffortTable,2,FALSE),0))</f>
        <v/>
      </c>
      <c r="N151" t="str">
        <f>IF(Tasks[[#This Row],[Task]]="","",IFERROR(MATCH(Tasks[[#This Row],[Status]],{"Late","Blocked","Due soon"},0),9)*100000+N(Tasks[[#This Row],[Due]]))</f>
        <v/>
      </c>
      <c r="O151" t="str" cm="1">
        <f t="array" aca="1" ref="O1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1" t="str" cm="1">
        <f t="array" ref="P1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1" t="str" cm="1">
        <f t="array" ref="Q1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1" t="str" cm="1">
        <f t="array" ref="R1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2" spans="1:18" x14ac:dyDescent="0.25">
      <c r="A152" s="14" t="str" cm="1">
        <f t="array" ref="A152">IF(Tasks[[#This Row],[Task]]="","","T-"&amp;TEXT(ROW()-ROW(Tasks[#Headers]),"000"))</f>
        <v/>
      </c>
      <c r="B152" s="15"/>
      <c r="C152" s="15"/>
      <c r="D152" s="15"/>
      <c r="E152" s="15"/>
      <c r="F152" s="16"/>
      <c r="G152" s="16"/>
      <c r="H152" s="16"/>
      <c r="I152" s="15"/>
      <c r="J152" s="15"/>
      <c r="K1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2" s="17" t="str">
        <f>IF(Tasks[[#This Row],[Task]]="","",IFERROR(VLOOKUP(IF(Tasks[[#This Row],[Effort]]="","M",Tasks[[#This Row],[Effort]]),EffortTable,2,FALSE),0))</f>
        <v/>
      </c>
      <c r="N152" t="str">
        <f>IF(Tasks[[#This Row],[Task]]="","",IFERROR(MATCH(Tasks[[#This Row],[Status]],{"Late","Blocked","Due soon"},0),9)*100000+N(Tasks[[#This Row],[Due]]))</f>
        <v/>
      </c>
      <c r="O152" t="str" cm="1">
        <f t="array" aca="1" ref="O1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2" t="str" cm="1">
        <f t="array" ref="P1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2" t="str" cm="1">
        <f t="array" ref="Q1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2" t="str" cm="1">
        <f t="array" ref="R1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3" spans="1:18" x14ac:dyDescent="0.25">
      <c r="A153" s="14" t="str" cm="1">
        <f t="array" ref="A153">IF(Tasks[[#This Row],[Task]]="","","T-"&amp;TEXT(ROW()-ROW(Tasks[#Headers]),"000"))</f>
        <v/>
      </c>
      <c r="B153" s="15"/>
      <c r="C153" s="15"/>
      <c r="D153" s="15"/>
      <c r="E153" s="15"/>
      <c r="F153" s="16"/>
      <c r="G153" s="16"/>
      <c r="H153" s="16"/>
      <c r="I153" s="15"/>
      <c r="J153" s="15"/>
      <c r="K1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3" s="17" t="str">
        <f>IF(Tasks[[#This Row],[Task]]="","",IFERROR(VLOOKUP(IF(Tasks[[#This Row],[Effort]]="","M",Tasks[[#This Row],[Effort]]),EffortTable,2,FALSE),0))</f>
        <v/>
      </c>
      <c r="N153" t="str">
        <f>IF(Tasks[[#This Row],[Task]]="","",IFERROR(MATCH(Tasks[[#This Row],[Status]],{"Late","Blocked","Due soon"},0),9)*100000+N(Tasks[[#This Row],[Due]]))</f>
        <v/>
      </c>
      <c r="O153" t="str" cm="1">
        <f t="array" aca="1" ref="O1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3" t="str" cm="1">
        <f t="array" ref="P1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3" t="str" cm="1">
        <f t="array" ref="Q1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3" t="str" cm="1">
        <f t="array" ref="R1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4" spans="1:18" x14ac:dyDescent="0.25">
      <c r="A154" s="14" t="str" cm="1">
        <f t="array" ref="A154">IF(Tasks[[#This Row],[Task]]="","","T-"&amp;TEXT(ROW()-ROW(Tasks[#Headers]),"000"))</f>
        <v/>
      </c>
      <c r="B154" s="15"/>
      <c r="C154" s="15"/>
      <c r="D154" s="15"/>
      <c r="E154" s="15"/>
      <c r="F154" s="16"/>
      <c r="G154" s="16"/>
      <c r="H154" s="16"/>
      <c r="I154" s="15"/>
      <c r="J154" s="15"/>
      <c r="K1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4" s="17" t="str">
        <f>IF(Tasks[[#This Row],[Task]]="","",IFERROR(VLOOKUP(IF(Tasks[[#This Row],[Effort]]="","M",Tasks[[#This Row],[Effort]]),EffortTable,2,FALSE),0))</f>
        <v/>
      </c>
      <c r="N154" t="str">
        <f>IF(Tasks[[#This Row],[Task]]="","",IFERROR(MATCH(Tasks[[#This Row],[Status]],{"Late","Blocked","Due soon"},0),9)*100000+N(Tasks[[#This Row],[Due]]))</f>
        <v/>
      </c>
      <c r="O154" t="str" cm="1">
        <f t="array" aca="1" ref="O1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4" t="str" cm="1">
        <f t="array" ref="P1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4" t="str" cm="1">
        <f t="array" ref="Q1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4" t="str" cm="1">
        <f t="array" ref="R1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5" spans="1:18" x14ac:dyDescent="0.25">
      <c r="A155" s="14" t="str" cm="1">
        <f t="array" ref="A155">IF(Tasks[[#This Row],[Task]]="","","T-"&amp;TEXT(ROW()-ROW(Tasks[#Headers]),"000"))</f>
        <v/>
      </c>
      <c r="B155" s="15"/>
      <c r="C155" s="15"/>
      <c r="D155" s="15"/>
      <c r="E155" s="15"/>
      <c r="F155" s="16"/>
      <c r="G155" s="16"/>
      <c r="H155" s="16"/>
      <c r="I155" s="15"/>
      <c r="J155" s="15"/>
      <c r="K1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5" s="17" t="str">
        <f>IF(Tasks[[#This Row],[Task]]="","",IFERROR(VLOOKUP(IF(Tasks[[#This Row],[Effort]]="","M",Tasks[[#This Row],[Effort]]),EffortTable,2,FALSE),0))</f>
        <v/>
      </c>
      <c r="N155" t="str">
        <f>IF(Tasks[[#This Row],[Task]]="","",IFERROR(MATCH(Tasks[[#This Row],[Status]],{"Late","Blocked","Due soon"},0),9)*100000+N(Tasks[[#This Row],[Due]]))</f>
        <v/>
      </c>
      <c r="O155" t="str" cm="1">
        <f t="array" aca="1" ref="O1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5" t="str" cm="1">
        <f t="array" ref="P1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5" t="str" cm="1">
        <f t="array" ref="Q1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5" t="str" cm="1">
        <f t="array" ref="R1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6" spans="1:18" x14ac:dyDescent="0.25">
      <c r="A156" s="14" t="str" cm="1">
        <f t="array" ref="A156">IF(Tasks[[#This Row],[Task]]="","","T-"&amp;TEXT(ROW()-ROW(Tasks[#Headers]),"000"))</f>
        <v/>
      </c>
      <c r="B156" s="15"/>
      <c r="C156" s="15"/>
      <c r="D156" s="15"/>
      <c r="E156" s="15"/>
      <c r="F156" s="16"/>
      <c r="G156" s="16"/>
      <c r="H156" s="16"/>
      <c r="I156" s="15"/>
      <c r="J156" s="15"/>
      <c r="K1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6" s="17" t="str">
        <f>IF(Tasks[[#This Row],[Task]]="","",IFERROR(VLOOKUP(IF(Tasks[[#This Row],[Effort]]="","M",Tasks[[#This Row],[Effort]]),EffortTable,2,FALSE),0))</f>
        <v/>
      </c>
      <c r="N156" t="str">
        <f>IF(Tasks[[#This Row],[Task]]="","",IFERROR(MATCH(Tasks[[#This Row],[Status]],{"Late","Blocked","Due soon"},0),9)*100000+N(Tasks[[#This Row],[Due]]))</f>
        <v/>
      </c>
      <c r="O156" t="str" cm="1">
        <f t="array" aca="1" ref="O1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6" t="str" cm="1">
        <f t="array" ref="P1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6" t="str" cm="1">
        <f t="array" ref="Q1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6" t="str" cm="1">
        <f t="array" ref="R1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7" spans="1:18" x14ac:dyDescent="0.25">
      <c r="A157" s="14" t="str" cm="1">
        <f t="array" ref="A157">IF(Tasks[[#This Row],[Task]]="","","T-"&amp;TEXT(ROW()-ROW(Tasks[#Headers]),"000"))</f>
        <v/>
      </c>
      <c r="B157" s="15"/>
      <c r="C157" s="15"/>
      <c r="D157" s="15"/>
      <c r="E157" s="15"/>
      <c r="F157" s="16"/>
      <c r="G157" s="16"/>
      <c r="H157" s="16"/>
      <c r="I157" s="15"/>
      <c r="J157" s="15"/>
      <c r="K1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7" s="17" t="str">
        <f>IF(Tasks[[#This Row],[Task]]="","",IFERROR(VLOOKUP(IF(Tasks[[#This Row],[Effort]]="","M",Tasks[[#This Row],[Effort]]),EffortTable,2,FALSE),0))</f>
        <v/>
      </c>
      <c r="N157" t="str">
        <f>IF(Tasks[[#This Row],[Task]]="","",IFERROR(MATCH(Tasks[[#This Row],[Status]],{"Late","Blocked","Due soon"},0),9)*100000+N(Tasks[[#This Row],[Due]]))</f>
        <v/>
      </c>
      <c r="O157" t="str" cm="1">
        <f t="array" aca="1" ref="O1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7" t="str" cm="1">
        <f t="array" ref="P1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7" t="str" cm="1">
        <f t="array" ref="Q1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7" t="str" cm="1">
        <f t="array" ref="R1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8" spans="1:18" x14ac:dyDescent="0.25">
      <c r="A158" s="14" t="str" cm="1">
        <f t="array" ref="A158">IF(Tasks[[#This Row],[Task]]="","","T-"&amp;TEXT(ROW()-ROW(Tasks[#Headers]),"000"))</f>
        <v/>
      </c>
      <c r="B158" s="15"/>
      <c r="C158" s="15"/>
      <c r="D158" s="15"/>
      <c r="E158" s="15"/>
      <c r="F158" s="16"/>
      <c r="G158" s="16"/>
      <c r="H158" s="16"/>
      <c r="I158" s="15"/>
      <c r="J158" s="15"/>
      <c r="K1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8" s="17" t="str">
        <f>IF(Tasks[[#This Row],[Task]]="","",IFERROR(VLOOKUP(IF(Tasks[[#This Row],[Effort]]="","M",Tasks[[#This Row],[Effort]]),EffortTable,2,FALSE),0))</f>
        <v/>
      </c>
      <c r="N158" t="str">
        <f>IF(Tasks[[#This Row],[Task]]="","",IFERROR(MATCH(Tasks[[#This Row],[Status]],{"Late","Blocked","Due soon"},0),9)*100000+N(Tasks[[#This Row],[Due]]))</f>
        <v/>
      </c>
      <c r="O158" t="str" cm="1">
        <f t="array" aca="1" ref="O1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8" t="str" cm="1">
        <f t="array" ref="P1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8" t="str" cm="1">
        <f t="array" ref="Q1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8" t="str" cm="1">
        <f t="array" ref="R1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59" spans="1:18" x14ac:dyDescent="0.25">
      <c r="A159" s="14" t="str" cm="1">
        <f t="array" ref="A159">IF(Tasks[[#This Row],[Task]]="","","T-"&amp;TEXT(ROW()-ROW(Tasks[#Headers]),"000"))</f>
        <v/>
      </c>
      <c r="B159" s="15"/>
      <c r="C159" s="15"/>
      <c r="D159" s="15"/>
      <c r="E159" s="15"/>
      <c r="F159" s="16"/>
      <c r="G159" s="16"/>
      <c r="H159" s="16"/>
      <c r="I159" s="15"/>
      <c r="J159" s="15"/>
      <c r="K1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59" s="17" t="str">
        <f>IF(Tasks[[#This Row],[Task]]="","",IFERROR(VLOOKUP(IF(Tasks[[#This Row],[Effort]]="","M",Tasks[[#This Row],[Effort]]),EffortTable,2,FALSE),0))</f>
        <v/>
      </c>
      <c r="N159" t="str">
        <f>IF(Tasks[[#This Row],[Task]]="","",IFERROR(MATCH(Tasks[[#This Row],[Status]],{"Late","Blocked","Due soon"},0),9)*100000+N(Tasks[[#This Row],[Due]]))</f>
        <v/>
      </c>
      <c r="O159" t="str" cm="1">
        <f t="array" aca="1" ref="O1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59" t="str" cm="1">
        <f t="array" ref="P1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59" t="str" cm="1">
        <f t="array" ref="Q1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59" t="str" cm="1">
        <f t="array" ref="R1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0" spans="1:18" x14ac:dyDescent="0.25">
      <c r="A160" s="14" t="str" cm="1">
        <f t="array" ref="A160">IF(Tasks[[#This Row],[Task]]="","","T-"&amp;TEXT(ROW()-ROW(Tasks[#Headers]),"000"))</f>
        <v/>
      </c>
      <c r="B160" s="15"/>
      <c r="C160" s="15"/>
      <c r="D160" s="15"/>
      <c r="E160" s="15"/>
      <c r="F160" s="16"/>
      <c r="G160" s="16"/>
      <c r="H160" s="16"/>
      <c r="I160" s="15"/>
      <c r="J160" s="15"/>
      <c r="K1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0" s="17" t="str">
        <f>IF(Tasks[[#This Row],[Task]]="","",IFERROR(VLOOKUP(IF(Tasks[[#This Row],[Effort]]="","M",Tasks[[#This Row],[Effort]]),EffortTable,2,FALSE),0))</f>
        <v/>
      </c>
      <c r="N160" t="str">
        <f>IF(Tasks[[#This Row],[Task]]="","",IFERROR(MATCH(Tasks[[#This Row],[Status]],{"Late","Blocked","Due soon"},0),9)*100000+N(Tasks[[#This Row],[Due]]))</f>
        <v/>
      </c>
      <c r="O160" t="str" cm="1">
        <f t="array" aca="1" ref="O1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0" t="str" cm="1">
        <f t="array" ref="P1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0" t="str" cm="1">
        <f t="array" ref="Q1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0" t="str" cm="1">
        <f t="array" ref="R1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1" spans="1:18" x14ac:dyDescent="0.25">
      <c r="A161" s="14" t="str" cm="1">
        <f t="array" ref="A161">IF(Tasks[[#This Row],[Task]]="","","T-"&amp;TEXT(ROW()-ROW(Tasks[#Headers]),"000"))</f>
        <v/>
      </c>
      <c r="B161" s="15"/>
      <c r="C161" s="15"/>
      <c r="D161" s="15"/>
      <c r="E161" s="15"/>
      <c r="F161" s="16"/>
      <c r="G161" s="16"/>
      <c r="H161" s="16"/>
      <c r="I161" s="15"/>
      <c r="J161" s="15"/>
      <c r="K1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1" s="17" t="str">
        <f>IF(Tasks[[#This Row],[Task]]="","",IFERROR(VLOOKUP(IF(Tasks[[#This Row],[Effort]]="","M",Tasks[[#This Row],[Effort]]),EffortTable,2,FALSE),0))</f>
        <v/>
      </c>
      <c r="N161" t="str">
        <f>IF(Tasks[[#This Row],[Task]]="","",IFERROR(MATCH(Tasks[[#This Row],[Status]],{"Late","Blocked","Due soon"},0),9)*100000+N(Tasks[[#This Row],[Due]]))</f>
        <v/>
      </c>
      <c r="O161" t="str" cm="1">
        <f t="array" aca="1" ref="O1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1" t="str" cm="1">
        <f t="array" ref="P1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1" t="str" cm="1">
        <f t="array" ref="Q1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1" t="str" cm="1">
        <f t="array" ref="R1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2" spans="1:18" x14ac:dyDescent="0.25">
      <c r="A162" s="14" t="str" cm="1">
        <f t="array" ref="A162">IF(Tasks[[#This Row],[Task]]="","","T-"&amp;TEXT(ROW()-ROW(Tasks[#Headers]),"000"))</f>
        <v/>
      </c>
      <c r="B162" s="15"/>
      <c r="C162" s="15"/>
      <c r="D162" s="15"/>
      <c r="E162" s="15"/>
      <c r="F162" s="16"/>
      <c r="G162" s="16"/>
      <c r="H162" s="16"/>
      <c r="I162" s="15"/>
      <c r="J162" s="15"/>
      <c r="K1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2" s="17" t="str">
        <f>IF(Tasks[[#This Row],[Task]]="","",IFERROR(VLOOKUP(IF(Tasks[[#This Row],[Effort]]="","M",Tasks[[#This Row],[Effort]]),EffortTable,2,FALSE),0))</f>
        <v/>
      </c>
      <c r="N162" t="str">
        <f>IF(Tasks[[#This Row],[Task]]="","",IFERROR(MATCH(Tasks[[#This Row],[Status]],{"Late","Blocked","Due soon"},0),9)*100000+N(Tasks[[#This Row],[Due]]))</f>
        <v/>
      </c>
      <c r="O162" t="str" cm="1">
        <f t="array" aca="1" ref="O1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2" t="str" cm="1">
        <f t="array" ref="P1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2" t="str" cm="1">
        <f t="array" ref="Q1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2" t="str" cm="1">
        <f t="array" ref="R1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3" spans="1:18" x14ac:dyDescent="0.25">
      <c r="A163" s="14" t="str" cm="1">
        <f t="array" ref="A163">IF(Tasks[[#This Row],[Task]]="","","T-"&amp;TEXT(ROW()-ROW(Tasks[#Headers]),"000"))</f>
        <v/>
      </c>
      <c r="B163" s="15"/>
      <c r="C163" s="15"/>
      <c r="D163" s="15"/>
      <c r="E163" s="15"/>
      <c r="F163" s="16"/>
      <c r="G163" s="16"/>
      <c r="H163" s="16"/>
      <c r="I163" s="15"/>
      <c r="J163" s="15"/>
      <c r="K1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3" s="17" t="str">
        <f>IF(Tasks[[#This Row],[Task]]="","",IFERROR(VLOOKUP(IF(Tasks[[#This Row],[Effort]]="","M",Tasks[[#This Row],[Effort]]),EffortTable,2,FALSE),0))</f>
        <v/>
      </c>
      <c r="N163" t="str">
        <f>IF(Tasks[[#This Row],[Task]]="","",IFERROR(MATCH(Tasks[[#This Row],[Status]],{"Late","Blocked","Due soon"},0),9)*100000+N(Tasks[[#This Row],[Due]]))</f>
        <v/>
      </c>
      <c r="O163" t="str" cm="1">
        <f t="array" aca="1" ref="O1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3" t="str" cm="1">
        <f t="array" ref="P1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3" t="str" cm="1">
        <f t="array" ref="Q1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3" t="str" cm="1">
        <f t="array" ref="R1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4" spans="1:18" x14ac:dyDescent="0.25">
      <c r="A164" s="14" t="str" cm="1">
        <f t="array" ref="A164">IF(Tasks[[#This Row],[Task]]="","","T-"&amp;TEXT(ROW()-ROW(Tasks[#Headers]),"000"))</f>
        <v/>
      </c>
      <c r="B164" s="15"/>
      <c r="C164" s="15"/>
      <c r="D164" s="15"/>
      <c r="E164" s="15"/>
      <c r="F164" s="16"/>
      <c r="G164" s="16"/>
      <c r="H164" s="16"/>
      <c r="I164" s="15"/>
      <c r="J164" s="15"/>
      <c r="K1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4" s="17" t="str">
        <f>IF(Tasks[[#This Row],[Task]]="","",IFERROR(VLOOKUP(IF(Tasks[[#This Row],[Effort]]="","M",Tasks[[#This Row],[Effort]]),EffortTable,2,FALSE),0))</f>
        <v/>
      </c>
      <c r="N164" t="str">
        <f>IF(Tasks[[#This Row],[Task]]="","",IFERROR(MATCH(Tasks[[#This Row],[Status]],{"Late","Blocked","Due soon"},0),9)*100000+N(Tasks[[#This Row],[Due]]))</f>
        <v/>
      </c>
      <c r="O164" t="str" cm="1">
        <f t="array" aca="1" ref="O1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4" t="str" cm="1">
        <f t="array" ref="P1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4" t="str" cm="1">
        <f t="array" ref="Q1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4" t="str" cm="1">
        <f t="array" ref="R1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5" spans="1:18" x14ac:dyDescent="0.25">
      <c r="A165" s="14" t="str" cm="1">
        <f t="array" ref="A165">IF(Tasks[[#This Row],[Task]]="","","T-"&amp;TEXT(ROW()-ROW(Tasks[#Headers]),"000"))</f>
        <v/>
      </c>
      <c r="B165" s="15"/>
      <c r="C165" s="15"/>
      <c r="D165" s="15"/>
      <c r="E165" s="15"/>
      <c r="F165" s="16"/>
      <c r="G165" s="16"/>
      <c r="H165" s="16"/>
      <c r="I165" s="15"/>
      <c r="J165" s="15"/>
      <c r="K1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5" s="17" t="str">
        <f>IF(Tasks[[#This Row],[Task]]="","",IFERROR(VLOOKUP(IF(Tasks[[#This Row],[Effort]]="","M",Tasks[[#This Row],[Effort]]),EffortTable,2,FALSE),0))</f>
        <v/>
      </c>
      <c r="N165" t="str">
        <f>IF(Tasks[[#This Row],[Task]]="","",IFERROR(MATCH(Tasks[[#This Row],[Status]],{"Late","Blocked","Due soon"},0),9)*100000+N(Tasks[[#This Row],[Due]]))</f>
        <v/>
      </c>
      <c r="O165" t="str" cm="1">
        <f t="array" aca="1" ref="O1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5" t="str" cm="1">
        <f t="array" ref="P1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5" t="str" cm="1">
        <f t="array" ref="Q1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5" t="str" cm="1">
        <f t="array" ref="R1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6" spans="1:18" x14ac:dyDescent="0.25">
      <c r="A166" s="14" t="str" cm="1">
        <f t="array" ref="A166">IF(Tasks[[#This Row],[Task]]="","","T-"&amp;TEXT(ROW()-ROW(Tasks[#Headers]),"000"))</f>
        <v/>
      </c>
      <c r="B166" s="15"/>
      <c r="C166" s="15"/>
      <c r="D166" s="15"/>
      <c r="E166" s="15"/>
      <c r="F166" s="16"/>
      <c r="G166" s="16"/>
      <c r="H166" s="16"/>
      <c r="I166" s="15"/>
      <c r="J166" s="15"/>
      <c r="K1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6" s="17" t="str">
        <f>IF(Tasks[[#This Row],[Task]]="","",IFERROR(VLOOKUP(IF(Tasks[[#This Row],[Effort]]="","M",Tasks[[#This Row],[Effort]]),EffortTable,2,FALSE),0))</f>
        <v/>
      </c>
      <c r="N166" t="str">
        <f>IF(Tasks[[#This Row],[Task]]="","",IFERROR(MATCH(Tasks[[#This Row],[Status]],{"Late","Blocked","Due soon"},0),9)*100000+N(Tasks[[#This Row],[Due]]))</f>
        <v/>
      </c>
      <c r="O166" t="str" cm="1">
        <f t="array" aca="1" ref="O1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6" t="str" cm="1">
        <f t="array" ref="P1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6" t="str" cm="1">
        <f t="array" ref="Q1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6" t="str" cm="1">
        <f t="array" ref="R1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7" spans="1:18" x14ac:dyDescent="0.25">
      <c r="A167" s="14" t="str" cm="1">
        <f t="array" ref="A167">IF(Tasks[[#This Row],[Task]]="","","T-"&amp;TEXT(ROW()-ROW(Tasks[#Headers]),"000"))</f>
        <v/>
      </c>
      <c r="B167" s="15"/>
      <c r="C167" s="15"/>
      <c r="D167" s="15"/>
      <c r="E167" s="15"/>
      <c r="F167" s="16"/>
      <c r="G167" s="16"/>
      <c r="H167" s="16"/>
      <c r="I167" s="15"/>
      <c r="J167" s="15"/>
      <c r="K1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7" s="17" t="str">
        <f>IF(Tasks[[#This Row],[Task]]="","",IFERROR(VLOOKUP(IF(Tasks[[#This Row],[Effort]]="","M",Tasks[[#This Row],[Effort]]),EffortTable,2,FALSE),0))</f>
        <v/>
      </c>
      <c r="N167" t="str">
        <f>IF(Tasks[[#This Row],[Task]]="","",IFERROR(MATCH(Tasks[[#This Row],[Status]],{"Late","Blocked","Due soon"},0),9)*100000+N(Tasks[[#This Row],[Due]]))</f>
        <v/>
      </c>
      <c r="O167" t="str" cm="1">
        <f t="array" aca="1" ref="O1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7" t="str" cm="1">
        <f t="array" ref="P1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7" t="str" cm="1">
        <f t="array" ref="Q1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7" t="str" cm="1">
        <f t="array" ref="R1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8" spans="1:18" x14ac:dyDescent="0.25">
      <c r="A168" s="14" t="str" cm="1">
        <f t="array" ref="A168">IF(Tasks[[#This Row],[Task]]="","","T-"&amp;TEXT(ROW()-ROW(Tasks[#Headers]),"000"))</f>
        <v/>
      </c>
      <c r="B168" s="15"/>
      <c r="C168" s="15"/>
      <c r="D168" s="15"/>
      <c r="E168" s="15"/>
      <c r="F168" s="16"/>
      <c r="G168" s="16"/>
      <c r="H168" s="16"/>
      <c r="I168" s="15"/>
      <c r="J168" s="15"/>
      <c r="K1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8" s="17" t="str">
        <f>IF(Tasks[[#This Row],[Task]]="","",IFERROR(VLOOKUP(IF(Tasks[[#This Row],[Effort]]="","M",Tasks[[#This Row],[Effort]]),EffortTable,2,FALSE),0))</f>
        <v/>
      </c>
      <c r="N168" t="str">
        <f>IF(Tasks[[#This Row],[Task]]="","",IFERROR(MATCH(Tasks[[#This Row],[Status]],{"Late","Blocked","Due soon"},0),9)*100000+N(Tasks[[#This Row],[Due]]))</f>
        <v/>
      </c>
      <c r="O168" t="str" cm="1">
        <f t="array" aca="1" ref="O1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8" t="str" cm="1">
        <f t="array" ref="P1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8" t="str" cm="1">
        <f t="array" ref="Q1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8" t="str" cm="1">
        <f t="array" ref="R1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69" spans="1:18" x14ac:dyDescent="0.25">
      <c r="A169" s="14" t="str" cm="1">
        <f t="array" ref="A169">IF(Tasks[[#This Row],[Task]]="","","T-"&amp;TEXT(ROW()-ROW(Tasks[#Headers]),"000"))</f>
        <v/>
      </c>
      <c r="B169" s="15"/>
      <c r="C169" s="15"/>
      <c r="D169" s="15"/>
      <c r="E169" s="15"/>
      <c r="F169" s="16"/>
      <c r="G169" s="16"/>
      <c r="H169" s="16"/>
      <c r="I169" s="15"/>
      <c r="J169" s="15"/>
      <c r="K1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69" s="17" t="str">
        <f>IF(Tasks[[#This Row],[Task]]="","",IFERROR(VLOOKUP(IF(Tasks[[#This Row],[Effort]]="","M",Tasks[[#This Row],[Effort]]),EffortTable,2,FALSE),0))</f>
        <v/>
      </c>
      <c r="N169" t="str">
        <f>IF(Tasks[[#This Row],[Task]]="","",IFERROR(MATCH(Tasks[[#This Row],[Status]],{"Late","Blocked","Due soon"},0),9)*100000+N(Tasks[[#This Row],[Due]]))</f>
        <v/>
      </c>
      <c r="O169" t="str" cm="1">
        <f t="array" aca="1" ref="O1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69" t="str" cm="1">
        <f t="array" ref="P1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69" t="str" cm="1">
        <f t="array" ref="Q1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69" t="str" cm="1">
        <f t="array" ref="R1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0" spans="1:18" x14ac:dyDescent="0.25">
      <c r="A170" s="14" t="str" cm="1">
        <f t="array" ref="A170">IF(Tasks[[#This Row],[Task]]="","","T-"&amp;TEXT(ROW()-ROW(Tasks[#Headers]),"000"))</f>
        <v/>
      </c>
      <c r="B170" s="15"/>
      <c r="C170" s="15"/>
      <c r="D170" s="15"/>
      <c r="E170" s="15"/>
      <c r="F170" s="16"/>
      <c r="G170" s="16"/>
      <c r="H170" s="16"/>
      <c r="I170" s="15"/>
      <c r="J170" s="15"/>
      <c r="K1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0" s="17" t="str">
        <f>IF(Tasks[[#This Row],[Task]]="","",IFERROR(VLOOKUP(IF(Tasks[[#This Row],[Effort]]="","M",Tasks[[#This Row],[Effort]]),EffortTable,2,FALSE),0))</f>
        <v/>
      </c>
      <c r="N170" t="str">
        <f>IF(Tasks[[#This Row],[Task]]="","",IFERROR(MATCH(Tasks[[#This Row],[Status]],{"Late","Blocked","Due soon"},0),9)*100000+N(Tasks[[#This Row],[Due]]))</f>
        <v/>
      </c>
      <c r="O170" t="str" cm="1">
        <f t="array" aca="1" ref="O1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0" t="str" cm="1">
        <f t="array" ref="P1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0" t="str" cm="1">
        <f t="array" ref="Q1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0" t="str" cm="1">
        <f t="array" ref="R1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1" spans="1:18" x14ac:dyDescent="0.25">
      <c r="A171" s="14" t="str" cm="1">
        <f t="array" ref="A171">IF(Tasks[[#This Row],[Task]]="","","T-"&amp;TEXT(ROW()-ROW(Tasks[#Headers]),"000"))</f>
        <v/>
      </c>
      <c r="B171" s="15"/>
      <c r="C171" s="15"/>
      <c r="D171" s="15"/>
      <c r="E171" s="15"/>
      <c r="F171" s="16"/>
      <c r="G171" s="16"/>
      <c r="H171" s="16"/>
      <c r="I171" s="15"/>
      <c r="J171" s="15"/>
      <c r="K1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1" s="17" t="str">
        <f>IF(Tasks[[#This Row],[Task]]="","",IFERROR(VLOOKUP(IF(Tasks[[#This Row],[Effort]]="","M",Tasks[[#This Row],[Effort]]),EffortTable,2,FALSE),0))</f>
        <v/>
      </c>
      <c r="N171" t="str">
        <f>IF(Tasks[[#This Row],[Task]]="","",IFERROR(MATCH(Tasks[[#This Row],[Status]],{"Late","Blocked","Due soon"},0),9)*100000+N(Tasks[[#This Row],[Due]]))</f>
        <v/>
      </c>
      <c r="O171" t="str" cm="1">
        <f t="array" aca="1" ref="O1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1" t="str" cm="1">
        <f t="array" ref="P1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1" t="str" cm="1">
        <f t="array" ref="Q1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1" t="str" cm="1">
        <f t="array" ref="R1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2" spans="1:18" x14ac:dyDescent="0.25">
      <c r="A172" s="14" t="str" cm="1">
        <f t="array" ref="A172">IF(Tasks[[#This Row],[Task]]="","","T-"&amp;TEXT(ROW()-ROW(Tasks[#Headers]),"000"))</f>
        <v/>
      </c>
      <c r="B172" s="15"/>
      <c r="C172" s="15"/>
      <c r="D172" s="15"/>
      <c r="E172" s="15"/>
      <c r="F172" s="16"/>
      <c r="G172" s="16"/>
      <c r="H172" s="16"/>
      <c r="I172" s="15"/>
      <c r="J172" s="15"/>
      <c r="K1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2" s="17" t="str">
        <f>IF(Tasks[[#This Row],[Task]]="","",IFERROR(VLOOKUP(IF(Tasks[[#This Row],[Effort]]="","M",Tasks[[#This Row],[Effort]]),EffortTable,2,FALSE),0))</f>
        <v/>
      </c>
      <c r="N172" t="str">
        <f>IF(Tasks[[#This Row],[Task]]="","",IFERROR(MATCH(Tasks[[#This Row],[Status]],{"Late","Blocked","Due soon"},0),9)*100000+N(Tasks[[#This Row],[Due]]))</f>
        <v/>
      </c>
      <c r="O172" t="str" cm="1">
        <f t="array" aca="1" ref="O1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2" t="str" cm="1">
        <f t="array" ref="P1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2" t="str" cm="1">
        <f t="array" ref="Q1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2" t="str" cm="1">
        <f t="array" ref="R1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3" spans="1:18" x14ac:dyDescent="0.25">
      <c r="A173" s="14" t="str" cm="1">
        <f t="array" ref="A173">IF(Tasks[[#This Row],[Task]]="","","T-"&amp;TEXT(ROW()-ROW(Tasks[#Headers]),"000"))</f>
        <v/>
      </c>
      <c r="B173" s="15"/>
      <c r="C173" s="15"/>
      <c r="D173" s="15"/>
      <c r="E173" s="15"/>
      <c r="F173" s="16"/>
      <c r="G173" s="16"/>
      <c r="H173" s="16"/>
      <c r="I173" s="15"/>
      <c r="J173" s="15"/>
      <c r="K1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3" s="17" t="str">
        <f>IF(Tasks[[#This Row],[Task]]="","",IFERROR(VLOOKUP(IF(Tasks[[#This Row],[Effort]]="","M",Tasks[[#This Row],[Effort]]),EffortTable,2,FALSE),0))</f>
        <v/>
      </c>
      <c r="N173" t="str">
        <f>IF(Tasks[[#This Row],[Task]]="","",IFERROR(MATCH(Tasks[[#This Row],[Status]],{"Late","Blocked","Due soon"},0),9)*100000+N(Tasks[[#This Row],[Due]]))</f>
        <v/>
      </c>
      <c r="O173" t="str" cm="1">
        <f t="array" aca="1" ref="O1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3" t="str" cm="1">
        <f t="array" ref="P1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3" t="str" cm="1">
        <f t="array" ref="Q1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3" t="str" cm="1">
        <f t="array" ref="R1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4" spans="1:18" x14ac:dyDescent="0.25">
      <c r="A174" s="14" t="str" cm="1">
        <f t="array" ref="A174">IF(Tasks[[#This Row],[Task]]="","","T-"&amp;TEXT(ROW()-ROW(Tasks[#Headers]),"000"))</f>
        <v/>
      </c>
      <c r="B174" s="15"/>
      <c r="C174" s="15"/>
      <c r="D174" s="15"/>
      <c r="E174" s="15"/>
      <c r="F174" s="16"/>
      <c r="G174" s="16"/>
      <c r="H174" s="16"/>
      <c r="I174" s="15"/>
      <c r="J174" s="15"/>
      <c r="K1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4" s="17" t="str">
        <f>IF(Tasks[[#This Row],[Task]]="","",IFERROR(VLOOKUP(IF(Tasks[[#This Row],[Effort]]="","M",Tasks[[#This Row],[Effort]]),EffortTable,2,FALSE),0))</f>
        <v/>
      </c>
      <c r="N174" t="str">
        <f>IF(Tasks[[#This Row],[Task]]="","",IFERROR(MATCH(Tasks[[#This Row],[Status]],{"Late","Blocked","Due soon"},0),9)*100000+N(Tasks[[#This Row],[Due]]))</f>
        <v/>
      </c>
      <c r="O174" t="str" cm="1">
        <f t="array" aca="1" ref="O1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4" t="str" cm="1">
        <f t="array" ref="P1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4" t="str" cm="1">
        <f t="array" ref="Q1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4" t="str" cm="1">
        <f t="array" ref="R1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5" spans="1:18" x14ac:dyDescent="0.25">
      <c r="A175" s="14" t="str" cm="1">
        <f t="array" ref="A175">IF(Tasks[[#This Row],[Task]]="","","T-"&amp;TEXT(ROW()-ROW(Tasks[#Headers]),"000"))</f>
        <v/>
      </c>
      <c r="B175" s="15"/>
      <c r="C175" s="15"/>
      <c r="D175" s="15"/>
      <c r="E175" s="15"/>
      <c r="F175" s="16"/>
      <c r="G175" s="16"/>
      <c r="H175" s="16"/>
      <c r="I175" s="15"/>
      <c r="J175" s="15"/>
      <c r="K1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5" s="17" t="str">
        <f>IF(Tasks[[#This Row],[Task]]="","",IFERROR(VLOOKUP(IF(Tasks[[#This Row],[Effort]]="","M",Tasks[[#This Row],[Effort]]),EffortTable,2,FALSE),0))</f>
        <v/>
      </c>
      <c r="N175" t="str">
        <f>IF(Tasks[[#This Row],[Task]]="","",IFERROR(MATCH(Tasks[[#This Row],[Status]],{"Late","Blocked","Due soon"},0),9)*100000+N(Tasks[[#This Row],[Due]]))</f>
        <v/>
      </c>
      <c r="O175" t="str" cm="1">
        <f t="array" aca="1" ref="O1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5" t="str" cm="1">
        <f t="array" ref="P1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5" t="str" cm="1">
        <f t="array" ref="Q1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5" t="str" cm="1">
        <f t="array" ref="R1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6" spans="1:18" x14ac:dyDescent="0.25">
      <c r="A176" s="14" t="str" cm="1">
        <f t="array" ref="A176">IF(Tasks[[#This Row],[Task]]="","","T-"&amp;TEXT(ROW()-ROW(Tasks[#Headers]),"000"))</f>
        <v/>
      </c>
      <c r="B176" s="15"/>
      <c r="C176" s="15"/>
      <c r="D176" s="15"/>
      <c r="E176" s="15"/>
      <c r="F176" s="16"/>
      <c r="G176" s="16"/>
      <c r="H176" s="16"/>
      <c r="I176" s="15"/>
      <c r="J176" s="15"/>
      <c r="K1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6" s="17" t="str">
        <f>IF(Tasks[[#This Row],[Task]]="","",IFERROR(VLOOKUP(IF(Tasks[[#This Row],[Effort]]="","M",Tasks[[#This Row],[Effort]]),EffortTable,2,FALSE),0))</f>
        <v/>
      </c>
      <c r="N176" t="str">
        <f>IF(Tasks[[#This Row],[Task]]="","",IFERROR(MATCH(Tasks[[#This Row],[Status]],{"Late","Blocked","Due soon"},0),9)*100000+N(Tasks[[#This Row],[Due]]))</f>
        <v/>
      </c>
      <c r="O176" t="str" cm="1">
        <f t="array" aca="1" ref="O1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6" t="str" cm="1">
        <f t="array" ref="P1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6" t="str" cm="1">
        <f t="array" ref="Q1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6" t="str" cm="1">
        <f t="array" ref="R1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7" spans="1:18" x14ac:dyDescent="0.25">
      <c r="A177" s="14" t="str" cm="1">
        <f t="array" ref="A177">IF(Tasks[[#This Row],[Task]]="","","T-"&amp;TEXT(ROW()-ROW(Tasks[#Headers]),"000"))</f>
        <v/>
      </c>
      <c r="B177" s="15"/>
      <c r="C177" s="15"/>
      <c r="D177" s="15"/>
      <c r="E177" s="15"/>
      <c r="F177" s="16"/>
      <c r="G177" s="16"/>
      <c r="H177" s="16"/>
      <c r="I177" s="15"/>
      <c r="J177" s="15"/>
      <c r="K1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7" s="17" t="str">
        <f>IF(Tasks[[#This Row],[Task]]="","",IFERROR(VLOOKUP(IF(Tasks[[#This Row],[Effort]]="","M",Tasks[[#This Row],[Effort]]),EffortTable,2,FALSE),0))</f>
        <v/>
      </c>
      <c r="N177" t="str">
        <f>IF(Tasks[[#This Row],[Task]]="","",IFERROR(MATCH(Tasks[[#This Row],[Status]],{"Late","Blocked","Due soon"},0),9)*100000+N(Tasks[[#This Row],[Due]]))</f>
        <v/>
      </c>
      <c r="O177" t="str" cm="1">
        <f t="array" aca="1" ref="O1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7" t="str" cm="1">
        <f t="array" ref="P1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7" t="str" cm="1">
        <f t="array" ref="Q1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7" t="str" cm="1">
        <f t="array" ref="R1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8" spans="1:18" x14ac:dyDescent="0.25">
      <c r="A178" s="14" t="str" cm="1">
        <f t="array" ref="A178">IF(Tasks[[#This Row],[Task]]="","","T-"&amp;TEXT(ROW()-ROW(Tasks[#Headers]),"000"))</f>
        <v/>
      </c>
      <c r="B178" s="15"/>
      <c r="C178" s="15"/>
      <c r="D178" s="15"/>
      <c r="E178" s="15"/>
      <c r="F178" s="16"/>
      <c r="G178" s="16"/>
      <c r="H178" s="16"/>
      <c r="I178" s="15"/>
      <c r="J178" s="15"/>
      <c r="K1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8" s="17" t="str">
        <f>IF(Tasks[[#This Row],[Task]]="","",IFERROR(VLOOKUP(IF(Tasks[[#This Row],[Effort]]="","M",Tasks[[#This Row],[Effort]]),EffortTable,2,FALSE),0))</f>
        <v/>
      </c>
      <c r="N178" t="str">
        <f>IF(Tasks[[#This Row],[Task]]="","",IFERROR(MATCH(Tasks[[#This Row],[Status]],{"Late","Blocked","Due soon"},0),9)*100000+N(Tasks[[#This Row],[Due]]))</f>
        <v/>
      </c>
      <c r="O178" t="str" cm="1">
        <f t="array" aca="1" ref="O1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8" t="str" cm="1">
        <f t="array" ref="P1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8" t="str" cm="1">
        <f t="array" ref="Q1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8" t="str" cm="1">
        <f t="array" ref="R1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79" spans="1:18" x14ac:dyDescent="0.25">
      <c r="A179" s="14" t="str" cm="1">
        <f t="array" ref="A179">IF(Tasks[[#This Row],[Task]]="","","T-"&amp;TEXT(ROW()-ROW(Tasks[#Headers]),"000"))</f>
        <v/>
      </c>
      <c r="B179" s="15"/>
      <c r="C179" s="15"/>
      <c r="D179" s="15"/>
      <c r="E179" s="15"/>
      <c r="F179" s="16"/>
      <c r="G179" s="16"/>
      <c r="H179" s="16"/>
      <c r="I179" s="15"/>
      <c r="J179" s="15"/>
      <c r="K1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79" s="17" t="str">
        <f>IF(Tasks[[#This Row],[Task]]="","",IFERROR(VLOOKUP(IF(Tasks[[#This Row],[Effort]]="","M",Tasks[[#This Row],[Effort]]),EffortTable,2,FALSE),0))</f>
        <v/>
      </c>
      <c r="N179" t="str">
        <f>IF(Tasks[[#This Row],[Task]]="","",IFERROR(MATCH(Tasks[[#This Row],[Status]],{"Late","Blocked","Due soon"},0),9)*100000+N(Tasks[[#This Row],[Due]]))</f>
        <v/>
      </c>
      <c r="O179" t="str" cm="1">
        <f t="array" aca="1" ref="O1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79" t="str" cm="1">
        <f t="array" ref="P1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79" t="str" cm="1">
        <f t="array" ref="Q1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79" t="str" cm="1">
        <f t="array" ref="R1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0" spans="1:18" x14ac:dyDescent="0.25">
      <c r="A180" s="14" t="str" cm="1">
        <f t="array" ref="A180">IF(Tasks[[#This Row],[Task]]="","","T-"&amp;TEXT(ROW()-ROW(Tasks[#Headers]),"000"))</f>
        <v/>
      </c>
      <c r="B180" s="15"/>
      <c r="C180" s="15"/>
      <c r="D180" s="15"/>
      <c r="E180" s="15"/>
      <c r="F180" s="16"/>
      <c r="G180" s="16"/>
      <c r="H180" s="16"/>
      <c r="I180" s="15"/>
      <c r="J180" s="15"/>
      <c r="K1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0" s="17" t="str">
        <f>IF(Tasks[[#This Row],[Task]]="","",IFERROR(VLOOKUP(IF(Tasks[[#This Row],[Effort]]="","M",Tasks[[#This Row],[Effort]]),EffortTable,2,FALSE),0))</f>
        <v/>
      </c>
      <c r="N180" t="str">
        <f>IF(Tasks[[#This Row],[Task]]="","",IFERROR(MATCH(Tasks[[#This Row],[Status]],{"Late","Blocked","Due soon"},0),9)*100000+N(Tasks[[#This Row],[Due]]))</f>
        <v/>
      </c>
      <c r="O180" t="str" cm="1">
        <f t="array" aca="1" ref="O1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0" t="str" cm="1">
        <f t="array" ref="P1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0" t="str" cm="1">
        <f t="array" ref="Q1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0" t="str" cm="1">
        <f t="array" ref="R1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1" spans="1:18" x14ac:dyDescent="0.25">
      <c r="A181" s="14" t="str" cm="1">
        <f t="array" ref="A181">IF(Tasks[[#This Row],[Task]]="","","T-"&amp;TEXT(ROW()-ROW(Tasks[#Headers]),"000"))</f>
        <v/>
      </c>
      <c r="B181" s="15"/>
      <c r="C181" s="15"/>
      <c r="D181" s="15"/>
      <c r="E181" s="15"/>
      <c r="F181" s="16"/>
      <c r="G181" s="16"/>
      <c r="H181" s="16"/>
      <c r="I181" s="15"/>
      <c r="J181" s="15"/>
      <c r="K1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1" s="17" t="str">
        <f>IF(Tasks[[#This Row],[Task]]="","",IFERROR(VLOOKUP(IF(Tasks[[#This Row],[Effort]]="","M",Tasks[[#This Row],[Effort]]),EffortTable,2,FALSE),0))</f>
        <v/>
      </c>
      <c r="N181" t="str">
        <f>IF(Tasks[[#This Row],[Task]]="","",IFERROR(MATCH(Tasks[[#This Row],[Status]],{"Late","Blocked","Due soon"},0),9)*100000+N(Tasks[[#This Row],[Due]]))</f>
        <v/>
      </c>
      <c r="O181" t="str" cm="1">
        <f t="array" aca="1" ref="O1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1" t="str" cm="1">
        <f t="array" ref="P1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1" t="str" cm="1">
        <f t="array" ref="Q1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1" t="str" cm="1">
        <f t="array" ref="R1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2" spans="1:18" x14ac:dyDescent="0.25">
      <c r="A182" s="14" t="str" cm="1">
        <f t="array" ref="A182">IF(Tasks[[#This Row],[Task]]="","","T-"&amp;TEXT(ROW()-ROW(Tasks[#Headers]),"000"))</f>
        <v/>
      </c>
      <c r="B182" s="15"/>
      <c r="C182" s="15"/>
      <c r="D182" s="15"/>
      <c r="E182" s="15"/>
      <c r="F182" s="16"/>
      <c r="G182" s="16"/>
      <c r="H182" s="16"/>
      <c r="I182" s="15"/>
      <c r="J182" s="15"/>
      <c r="K1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2" s="17" t="str">
        <f>IF(Tasks[[#This Row],[Task]]="","",IFERROR(VLOOKUP(IF(Tasks[[#This Row],[Effort]]="","M",Tasks[[#This Row],[Effort]]),EffortTable,2,FALSE),0))</f>
        <v/>
      </c>
      <c r="N182" t="str">
        <f>IF(Tasks[[#This Row],[Task]]="","",IFERROR(MATCH(Tasks[[#This Row],[Status]],{"Late","Blocked","Due soon"},0),9)*100000+N(Tasks[[#This Row],[Due]]))</f>
        <v/>
      </c>
      <c r="O182" t="str" cm="1">
        <f t="array" aca="1" ref="O1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2" t="str" cm="1">
        <f t="array" ref="P1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2" t="str" cm="1">
        <f t="array" ref="Q1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2" t="str" cm="1">
        <f t="array" ref="R1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3" spans="1:18" x14ac:dyDescent="0.25">
      <c r="A183" s="14" t="str" cm="1">
        <f t="array" ref="A183">IF(Tasks[[#This Row],[Task]]="","","T-"&amp;TEXT(ROW()-ROW(Tasks[#Headers]),"000"))</f>
        <v/>
      </c>
      <c r="B183" s="15"/>
      <c r="C183" s="15"/>
      <c r="D183" s="15"/>
      <c r="E183" s="15"/>
      <c r="F183" s="16"/>
      <c r="G183" s="16"/>
      <c r="H183" s="16"/>
      <c r="I183" s="15"/>
      <c r="J183" s="15"/>
      <c r="K1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3" s="17" t="str">
        <f>IF(Tasks[[#This Row],[Task]]="","",IFERROR(VLOOKUP(IF(Tasks[[#This Row],[Effort]]="","M",Tasks[[#This Row],[Effort]]),EffortTable,2,FALSE),0))</f>
        <v/>
      </c>
      <c r="N183" t="str">
        <f>IF(Tasks[[#This Row],[Task]]="","",IFERROR(MATCH(Tasks[[#This Row],[Status]],{"Late","Blocked","Due soon"},0),9)*100000+N(Tasks[[#This Row],[Due]]))</f>
        <v/>
      </c>
      <c r="O183" t="str" cm="1">
        <f t="array" aca="1" ref="O1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3" t="str" cm="1">
        <f t="array" ref="P1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3" t="str" cm="1">
        <f t="array" ref="Q1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3" t="str" cm="1">
        <f t="array" ref="R1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4" spans="1:18" x14ac:dyDescent="0.25">
      <c r="A184" s="14" t="str" cm="1">
        <f t="array" ref="A184">IF(Tasks[[#This Row],[Task]]="","","T-"&amp;TEXT(ROW()-ROW(Tasks[#Headers]),"000"))</f>
        <v/>
      </c>
      <c r="B184" s="15"/>
      <c r="C184" s="15"/>
      <c r="D184" s="15"/>
      <c r="E184" s="15"/>
      <c r="F184" s="16"/>
      <c r="G184" s="16"/>
      <c r="H184" s="16"/>
      <c r="I184" s="15"/>
      <c r="J184" s="15"/>
      <c r="K1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4" s="17" t="str">
        <f>IF(Tasks[[#This Row],[Task]]="","",IFERROR(VLOOKUP(IF(Tasks[[#This Row],[Effort]]="","M",Tasks[[#This Row],[Effort]]),EffortTable,2,FALSE),0))</f>
        <v/>
      </c>
      <c r="N184" t="str">
        <f>IF(Tasks[[#This Row],[Task]]="","",IFERROR(MATCH(Tasks[[#This Row],[Status]],{"Late","Blocked","Due soon"},0),9)*100000+N(Tasks[[#This Row],[Due]]))</f>
        <v/>
      </c>
      <c r="O184" t="str" cm="1">
        <f t="array" aca="1" ref="O1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4" t="str" cm="1">
        <f t="array" ref="P1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4" t="str" cm="1">
        <f t="array" ref="Q1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4" t="str" cm="1">
        <f t="array" ref="R1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5" spans="1:18" x14ac:dyDescent="0.25">
      <c r="A185" s="14" t="str" cm="1">
        <f t="array" ref="A185">IF(Tasks[[#This Row],[Task]]="","","T-"&amp;TEXT(ROW()-ROW(Tasks[#Headers]),"000"))</f>
        <v/>
      </c>
      <c r="B185" s="15"/>
      <c r="C185" s="15"/>
      <c r="D185" s="15"/>
      <c r="E185" s="15"/>
      <c r="F185" s="16"/>
      <c r="G185" s="16"/>
      <c r="H185" s="16"/>
      <c r="I185" s="15"/>
      <c r="J185" s="15"/>
      <c r="K1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5" s="17" t="str">
        <f>IF(Tasks[[#This Row],[Task]]="","",IFERROR(VLOOKUP(IF(Tasks[[#This Row],[Effort]]="","M",Tasks[[#This Row],[Effort]]),EffortTable,2,FALSE),0))</f>
        <v/>
      </c>
      <c r="N185" t="str">
        <f>IF(Tasks[[#This Row],[Task]]="","",IFERROR(MATCH(Tasks[[#This Row],[Status]],{"Late","Blocked","Due soon"},0),9)*100000+N(Tasks[[#This Row],[Due]]))</f>
        <v/>
      </c>
      <c r="O185" t="str" cm="1">
        <f t="array" aca="1" ref="O1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5" t="str" cm="1">
        <f t="array" ref="P1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5" t="str" cm="1">
        <f t="array" ref="Q1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5" t="str" cm="1">
        <f t="array" ref="R1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6" spans="1:18" x14ac:dyDescent="0.25">
      <c r="A186" s="14" t="str" cm="1">
        <f t="array" ref="A186">IF(Tasks[[#This Row],[Task]]="","","T-"&amp;TEXT(ROW()-ROW(Tasks[#Headers]),"000"))</f>
        <v/>
      </c>
      <c r="B186" s="15"/>
      <c r="C186" s="15"/>
      <c r="D186" s="15"/>
      <c r="E186" s="15"/>
      <c r="F186" s="16"/>
      <c r="G186" s="16"/>
      <c r="H186" s="16"/>
      <c r="I186" s="15"/>
      <c r="J186" s="15"/>
      <c r="K1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6" s="17" t="str">
        <f>IF(Tasks[[#This Row],[Task]]="","",IFERROR(VLOOKUP(IF(Tasks[[#This Row],[Effort]]="","M",Tasks[[#This Row],[Effort]]),EffortTable,2,FALSE),0))</f>
        <v/>
      </c>
      <c r="N186" t="str">
        <f>IF(Tasks[[#This Row],[Task]]="","",IFERROR(MATCH(Tasks[[#This Row],[Status]],{"Late","Blocked","Due soon"},0),9)*100000+N(Tasks[[#This Row],[Due]]))</f>
        <v/>
      </c>
      <c r="O186" t="str" cm="1">
        <f t="array" aca="1" ref="O1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6" t="str" cm="1">
        <f t="array" ref="P1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6" t="str" cm="1">
        <f t="array" ref="Q1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6" t="str" cm="1">
        <f t="array" ref="R1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7" spans="1:18" x14ac:dyDescent="0.25">
      <c r="A187" s="14" t="str" cm="1">
        <f t="array" ref="A187">IF(Tasks[[#This Row],[Task]]="","","T-"&amp;TEXT(ROW()-ROW(Tasks[#Headers]),"000"))</f>
        <v/>
      </c>
      <c r="B187" s="15"/>
      <c r="C187" s="15"/>
      <c r="D187" s="15"/>
      <c r="E187" s="15"/>
      <c r="F187" s="16"/>
      <c r="G187" s="16"/>
      <c r="H187" s="16"/>
      <c r="I187" s="15"/>
      <c r="J187" s="15"/>
      <c r="K1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7" s="17" t="str">
        <f>IF(Tasks[[#This Row],[Task]]="","",IFERROR(VLOOKUP(IF(Tasks[[#This Row],[Effort]]="","M",Tasks[[#This Row],[Effort]]),EffortTable,2,FALSE),0))</f>
        <v/>
      </c>
      <c r="N187" t="str">
        <f>IF(Tasks[[#This Row],[Task]]="","",IFERROR(MATCH(Tasks[[#This Row],[Status]],{"Late","Blocked","Due soon"},0),9)*100000+N(Tasks[[#This Row],[Due]]))</f>
        <v/>
      </c>
      <c r="O187" t="str" cm="1">
        <f t="array" aca="1" ref="O1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7" t="str" cm="1">
        <f t="array" ref="P1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7" t="str" cm="1">
        <f t="array" ref="Q1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7" t="str" cm="1">
        <f t="array" ref="R1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8" spans="1:18" x14ac:dyDescent="0.25">
      <c r="A188" s="14" t="str" cm="1">
        <f t="array" ref="A188">IF(Tasks[[#This Row],[Task]]="","","T-"&amp;TEXT(ROW()-ROW(Tasks[#Headers]),"000"))</f>
        <v/>
      </c>
      <c r="B188" s="15"/>
      <c r="C188" s="15"/>
      <c r="D188" s="15"/>
      <c r="E188" s="15"/>
      <c r="F188" s="16"/>
      <c r="G188" s="16"/>
      <c r="H188" s="16"/>
      <c r="I188" s="15"/>
      <c r="J188" s="15"/>
      <c r="K1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8" s="17" t="str">
        <f>IF(Tasks[[#This Row],[Task]]="","",IFERROR(VLOOKUP(IF(Tasks[[#This Row],[Effort]]="","M",Tasks[[#This Row],[Effort]]),EffortTable,2,FALSE),0))</f>
        <v/>
      </c>
      <c r="N188" t="str">
        <f>IF(Tasks[[#This Row],[Task]]="","",IFERROR(MATCH(Tasks[[#This Row],[Status]],{"Late","Blocked","Due soon"},0),9)*100000+N(Tasks[[#This Row],[Due]]))</f>
        <v/>
      </c>
      <c r="O188" t="str" cm="1">
        <f t="array" aca="1" ref="O1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8" t="str" cm="1">
        <f t="array" ref="P1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8" t="str" cm="1">
        <f t="array" ref="Q1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8" t="str" cm="1">
        <f t="array" ref="R1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89" spans="1:18" x14ac:dyDescent="0.25">
      <c r="A189" s="14" t="str" cm="1">
        <f t="array" ref="A189">IF(Tasks[[#This Row],[Task]]="","","T-"&amp;TEXT(ROW()-ROW(Tasks[#Headers]),"000"))</f>
        <v/>
      </c>
      <c r="B189" s="15"/>
      <c r="C189" s="15"/>
      <c r="D189" s="15"/>
      <c r="E189" s="15"/>
      <c r="F189" s="16"/>
      <c r="G189" s="16"/>
      <c r="H189" s="16"/>
      <c r="I189" s="15"/>
      <c r="J189" s="15"/>
      <c r="K1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89" s="17" t="str">
        <f>IF(Tasks[[#This Row],[Task]]="","",IFERROR(VLOOKUP(IF(Tasks[[#This Row],[Effort]]="","M",Tasks[[#This Row],[Effort]]),EffortTable,2,FALSE),0))</f>
        <v/>
      </c>
      <c r="N189" t="str">
        <f>IF(Tasks[[#This Row],[Task]]="","",IFERROR(MATCH(Tasks[[#This Row],[Status]],{"Late","Blocked","Due soon"},0),9)*100000+N(Tasks[[#This Row],[Due]]))</f>
        <v/>
      </c>
      <c r="O189" t="str" cm="1">
        <f t="array" aca="1" ref="O1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89" t="str" cm="1">
        <f t="array" ref="P1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89" t="str" cm="1">
        <f t="array" ref="Q1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89" t="str" cm="1">
        <f t="array" ref="R1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0" spans="1:18" x14ac:dyDescent="0.25">
      <c r="A190" s="14" t="str" cm="1">
        <f t="array" ref="A190">IF(Tasks[[#This Row],[Task]]="","","T-"&amp;TEXT(ROW()-ROW(Tasks[#Headers]),"000"))</f>
        <v/>
      </c>
      <c r="B190" s="15"/>
      <c r="C190" s="15"/>
      <c r="D190" s="15"/>
      <c r="E190" s="15"/>
      <c r="F190" s="16"/>
      <c r="G190" s="16"/>
      <c r="H190" s="16"/>
      <c r="I190" s="15"/>
      <c r="J190" s="15"/>
      <c r="K1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0" s="17" t="str">
        <f>IF(Tasks[[#This Row],[Task]]="","",IFERROR(VLOOKUP(IF(Tasks[[#This Row],[Effort]]="","M",Tasks[[#This Row],[Effort]]),EffortTable,2,FALSE),0))</f>
        <v/>
      </c>
      <c r="N190" t="str">
        <f>IF(Tasks[[#This Row],[Task]]="","",IFERROR(MATCH(Tasks[[#This Row],[Status]],{"Late","Blocked","Due soon"},0),9)*100000+N(Tasks[[#This Row],[Due]]))</f>
        <v/>
      </c>
      <c r="O190" t="str" cm="1">
        <f t="array" aca="1" ref="O1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0" t="str" cm="1">
        <f t="array" ref="P1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0" t="str" cm="1">
        <f t="array" ref="Q1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0" t="str" cm="1">
        <f t="array" ref="R1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1" spans="1:18" x14ac:dyDescent="0.25">
      <c r="A191" s="14" t="str" cm="1">
        <f t="array" ref="A191">IF(Tasks[[#This Row],[Task]]="","","T-"&amp;TEXT(ROW()-ROW(Tasks[#Headers]),"000"))</f>
        <v/>
      </c>
      <c r="B191" s="15"/>
      <c r="C191" s="15"/>
      <c r="D191" s="15"/>
      <c r="E191" s="15"/>
      <c r="F191" s="16"/>
      <c r="G191" s="16"/>
      <c r="H191" s="16"/>
      <c r="I191" s="15"/>
      <c r="J191" s="15"/>
      <c r="K1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1" s="17" t="str">
        <f>IF(Tasks[[#This Row],[Task]]="","",IFERROR(VLOOKUP(IF(Tasks[[#This Row],[Effort]]="","M",Tasks[[#This Row],[Effort]]),EffortTable,2,FALSE),0))</f>
        <v/>
      </c>
      <c r="N191" t="str">
        <f>IF(Tasks[[#This Row],[Task]]="","",IFERROR(MATCH(Tasks[[#This Row],[Status]],{"Late","Blocked","Due soon"},0),9)*100000+N(Tasks[[#This Row],[Due]]))</f>
        <v/>
      </c>
      <c r="O191" t="str" cm="1">
        <f t="array" aca="1" ref="O1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1" t="str" cm="1">
        <f t="array" ref="P1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1" t="str" cm="1">
        <f t="array" ref="Q1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1" t="str" cm="1">
        <f t="array" ref="R1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2" spans="1:18" x14ac:dyDescent="0.25">
      <c r="A192" s="14" t="str" cm="1">
        <f t="array" ref="A192">IF(Tasks[[#This Row],[Task]]="","","T-"&amp;TEXT(ROW()-ROW(Tasks[#Headers]),"000"))</f>
        <v/>
      </c>
      <c r="B192" s="15"/>
      <c r="C192" s="15"/>
      <c r="D192" s="15"/>
      <c r="E192" s="15"/>
      <c r="F192" s="16"/>
      <c r="G192" s="16"/>
      <c r="H192" s="16"/>
      <c r="I192" s="15"/>
      <c r="J192" s="15"/>
      <c r="K1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2" s="17" t="str">
        <f>IF(Tasks[[#This Row],[Task]]="","",IFERROR(VLOOKUP(IF(Tasks[[#This Row],[Effort]]="","M",Tasks[[#This Row],[Effort]]),EffortTable,2,FALSE),0))</f>
        <v/>
      </c>
      <c r="N192" t="str">
        <f>IF(Tasks[[#This Row],[Task]]="","",IFERROR(MATCH(Tasks[[#This Row],[Status]],{"Late","Blocked","Due soon"},0),9)*100000+N(Tasks[[#This Row],[Due]]))</f>
        <v/>
      </c>
      <c r="O192" t="str" cm="1">
        <f t="array" aca="1" ref="O1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2" t="str" cm="1">
        <f t="array" ref="P1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2" t="str" cm="1">
        <f t="array" ref="Q1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2" t="str" cm="1">
        <f t="array" ref="R1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3" spans="1:18" x14ac:dyDescent="0.25">
      <c r="A193" s="14" t="str" cm="1">
        <f t="array" ref="A193">IF(Tasks[[#This Row],[Task]]="","","T-"&amp;TEXT(ROW()-ROW(Tasks[#Headers]),"000"))</f>
        <v/>
      </c>
      <c r="B193" s="15"/>
      <c r="C193" s="15"/>
      <c r="D193" s="15"/>
      <c r="E193" s="15"/>
      <c r="F193" s="16"/>
      <c r="G193" s="16"/>
      <c r="H193" s="16"/>
      <c r="I193" s="15"/>
      <c r="J193" s="15"/>
      <c r="K1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3" s="17" t="str">
        <f>IF(Tasks[[#This Row],[Task]]="","",IFERROR(VLOOKUP(IF(Tasks[[#This Row],[Effort]]="","M",Tasks[[#This Row],[Effort]]),EffortTable,2,FALSE),0))</f>
        <v/>
      </c>
      <c r="N193" t="str">
        <f>IF(Tasks[[#This Row],[Task]]="","",IFERROR(MATCH(Tasks[[#This Row],[Status]],{"Late","Blocked","Due soon"},0),9)*100000+N(Tasks[[#This Row],[Due]]))</f>
        <v/>
      </c>
      <c r="O193" t="str" cm="1">
        <f t="array" aca="1" ref="O1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3" t="str" cm="1">
        <f t="array" ref="P1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3" t="str" cm="1">
        <f t="array" ref="Q1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3" t="str" cm="1">
        <f t="array" ref="R1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4" spans="1:18" x14ac:dyDescent="0.25">
      <c r="A194" s="14" t="str" cm="1">
        <f t="array" ref="A194">IF(Tasks[[#This Row],[Task]]="","","T-"&amp;TEXT(ROW()-ROW(Tasks[#Headers]),"000"))</f>
        <v/>
      </c>
      <c r="B194" s="15"/>
      <c r="C194" s="15"/>
      <c r="D194" s="15"/>
      <c r="E194" s="15"/>
      <c r="F194" s="16"/>
      <c r="G194" s="16"/>
      <c r="H194" s="16"/>
      <c r="I194" s="15"/>
      <c r="J194" s="15"/>
      <c r="K1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4" s="17" t="str">
        <f>IF(Tasks[[#This Row],[Task]]="","",IFERROR(VLOOKUP(IF(Tasks[[#This Row],[Effort]]="","M",Tasks[[#This Row],[Effort]]),EffortTable,2,FALSE),0))</f>
        <v/>
      </c>
      <c r="N194" t="str">
        <f>IF(Tasks[[#This Row],[Task]]="","",IFERROR(MATCH(Tasks[[#This Row],[Status]],{"Late","Blocked","Due soon"},0),9)*100000+N(Tasks[[#This Row],[Due]]))</f>
        <v/>
      </c>
      <c r="O194" t="str" cm="1">
        <f t="array" aca="1" ref="O1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4" t="str" cm="1">
        <f t="array" ref="P1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4" t="str" cm="1">
        <f t="array" ref="Q1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4" t="str" cm="1">
        <f t="array" ref="R1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5" spans="1:18" x14ac:dyDescent="0.25">
      <c r="A195" s="14" t="str" cm="1">
        <f t="array" ref="A195">IF(Tasks[[#This Row],[Task]]="","","T-"&amp;TEXT(ROW()-ROW(Tasks[#Headers]),"000"))</f>
        <v/>
      </c>
      <c r="B195" s="15"/>
      <c r="C195" s="15"/>
      <c r="D195" s="15"/>
      <c r="E195" s="15"/>
      <c r="F195" s="16"/>
      <c r="G195" s="16"/>
      <c r="H195" s="16"/>
      <c r="I195" s="15"/>
      <c r="J195" s="15"/>
      <c r="K1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5" s="17" t="str">
        <f>IF(Tasks[[#This Row],[Task]]="","",IFERROR(VLOOKUP(IF(Tasks[[#This Row],[Effort]]="","M",Tasks[[#This Row],[Effort]]),EffortTable,2,FALSE),0))</f>
        <v/>
      </c>
      <c r="N195" t="str">
        <f>IF(Tasks[[#This Row],[Task]]="","",IFERROR(MATCH(Tasks[[#This Row],[Status]],{"Late","Blocked","Due soon"},0),9)*100000+N(Tasks[[#This Row],[Due]]))</f>
        <v/>
      </c>
      <c r="O195" t="str" cm="1">
        <f t="array" aca="1" ref="O1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5" t="str" cm="1">
        <f t="array" ref="P1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5" t="str" cm="1">
        <f t="array" ref="Q1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5" t="str" cm="1">
        <f t="array" ref="R1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6" spans="1:18" x14ac:dyDescent="0.25">
      <c r="A196" s="14" t="str" cm="1">
        <f t="array" ref="A196">IF(Tasks[[#This Row],[Task]]="","","T-"&amp;TEXT(ROW()-ROW(Tasks[#Headers]),"000"))</f>
        <v/>
      </c>
      <c r="B196" s="15"/>
      <c r="C196" s="15"/>
      <c r="D196" s="15"/>
      <c r="E196" s="15"/>
      <c r="F196" s="16"/>
      <c r="G196" s="16"/>
      <c r="H196" s="16"/>
      <c r="I196" s="15"/>
      <c r="J196" s="15"/>
      <c r="K1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6" s="17" t="str">
        <f>IF(Tasks[[#This Row],[Task]]="","",IFERROR(VLOOKUP(IF(Tasks[[#This Row],[Effort]]="","M",Tasks[[#This Row],[Effort]]),EffortTable,2,FALSE),0))</f>
        <v/>
      </c>
      <c r="N196" t="str">
        <f>IF(Tasks[[#This Row],[Task]]="","",IFERROR(MATCH(Tasks[[#This Row],[Status]],{"Late","Blocked","Due soon"},0),9)*100000+N(Tasks[[#This Row],[Due]]))</f>
        <v/>
      </c>
      <c r="O196" t="str" cm="1">
        <f t="array" aca="1" ref="O1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6" t="str" cm="1">
        <f t="array" ref="P1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6" t="str" cm="1">
        <f t="array" ref="Q1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6" t="str" cm="1">
        <f t="array" ref="R1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7" spans="1:18" x14ac:dyDescent="0.25">
      <c r="A197" s="14" t="str" cm="1">
        <f t="array" ref="A197">IF(Tasks[[#This Row],[Task]]="","","T-"&amp;TEXT(ROW()-ROW(Tasks[#Headers]),"000"))</f>
        <v/>
      </c>
      <c r="B197" s="15"/>
      <c r="C197" s="15"/>
      <c r="D197" s="15"/>
      <c r="E197" s="15"/>
      <c r="F197" s="16"/>
      <c r="G197" s="16"/>
      <c r="H197" s="16"/>
      <c r="I197" s="15"/>
      <c r="J197" s="15"/>
      <c r="K1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7" s="17" t="str">
        <f>IF(Tasks[[#This Row],[Task]]="","",IFERROR(VLOOKUP(IF(Tasks[[#This Row],[Effort]]="","M",Tasks[[#This Row],[Effort]]),EffortTable,2,FALSE),0))</f>
        <v/>
      </c>
      <c r="N197" t="str">
        <f>IF(Tasks[[#This Row],[Task]]="","",IFERROR(MATCH(Tasks[[#This Row],[Status]],{"Late","Blocked","Due soon"},0),9)*100000+N(Tasks[[#This Row],[Due]]))</f>
        <v/>
      </c>
      <c r="O197" t="str" cm="1">
        <f t="array" aca="1" ref="O1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7" t="str" cm="1">
        <f t="array" ref="P1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7" t="str" cm="1">
        <f t="array" ref="Q1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7" t="str" cm="1">
        <f t="array" ref="R1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8" spans="1:18" x14ac:dyDescent="0.25">
      <c r="A198" s="14" t="str" cm="1">
        <f t="array" ref="A198">IF(Tasks[[#This Row],[Task]]="","","T-"&amp;TEXT(ROW()-ROW(Tasks[#Headers]),"000"))</f>
        <v/>
      </c>
      <c r="B198" s="15"/>
      <c r="C198" s="15"/>
      <c r="D198" s="15"/>
      <c r="E198" s="15"/>
      <c r="F198" s="16"/>
      <c r="G198" s="16"/>
      <c r="H198" s="16"/>
      <c r="I198" s="15"/>
      <c r="J198" s="15"/>
      <c r="K1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8" s="17" t="str">
        <f>IF(Tasks[[#This Row],[Task]]="","",IFERROR(VLOOKUP(IF(Tasks[[#This Row],[Effort]]="","M",Tasks[[#This Row],[Effort]]),EffortTable,2,FALSE),0))</f>
        <v/>
      </c>
      <c r="N198" t="str">
        <f>IF(Tasks[[#This Row],[Task]]="","",IFERROR(MATCH(Tasks[[#This Row],[Status]],{"Late","Blocked","Due soon"},0),9)*100000+N(Tasks[[#This Row],[Due]]))</f>
        <v/>
      </c>
      <c r="O198" t="str" cm="1">
        <f t="array" aca="1" ref="O1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8" t="str" cm="1">
        <f t="array" ref="P1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8" t="str" cm="1">
        <f t="array" ref="Q1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8" t="str" cm="1">
        <f t="array" ref="R1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99" spans="1:18" x14ac:dyDescent="0.25">
      <c r="A199" s="14" t="str" cm="1">
        <f t="array" ref="A199">IF(Tasks[[#This Row],[Task]]="","","T-"&amp;TEXT(ROW()-ROW(Tasks[#Headers]),"000"))</f>
        <v/>
      </c>
      <c r="B199" s="15"/>
      <c r="C199" s="15"/>
      <c r="D199" s="15"/>
      <c r="E199" s="15"/>
      <c r="F199" s="16"/>
      <c r="G199" s="16"/>
      <c r="H199" s="16"/>
      <c r="I199" s="15"/>
      <c r="J199" s="15"/>
      <c r="K1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99" s="17" t="str">
        <f>IF(Tasks[[#This Row],[Task]]="","",IFERROR(VLOOKUP(IF(Tasks[[#This Row],[Effort]]="","M",Tasks[[#This Row],[Effort]]),EffortTable,2,FALSE),0))</f>
        <v/>
      </c>
      <c r="N199" t="str">
        <f>IF(Tasks[[#This Row],[Task]]="","",IFERROR(MATCH(Tasks[[#This Row],[Status]],{"Late","Blocked","Due soon"},0),9)*100000+N(Tasks[[#This Row],[Due]]))</f>
        <v/>
      </c>
      <c r="O199" t="str" cm="1">
        <f t="array" aca="1" ref="O1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99" t="str" cm="1">
        <f t="array" ref="P1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99" t="str" cm="1">
        <f t="array" ref="Q1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99" t="str" cm="1">
        <f t="array" ref="R1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0" spans="1:18" x14ac:dyDescent="0.25">
      <c r="A200" s="14" t="str" cm="1">
        <f t="array" ref="A200">IF(Tasks[[#This Row],[Task]]="","","T-"&amp;TEXT(ROW()-ROW(Tasks[#Headers]),"000"))</f>
        <v/>
      </c>
      <c r="B200" s="15"/>
      <c r="C200" s="15"/>
      <c r="D200" s="15"/>
      <c r="E200" s="15"/>
      <c r="F200" s="16"/>
      <c r="G200" s="16"/>
      <c r="H200" s="16"/>
      <c r="I200" s="15"/>
      <c r="J200" s="15"/>
      <c r="K2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0" s="17" t="str">
        <f>IF(Tasks[[#This Row],[Task]]="","",IFERROR(VLOOKUP(IF(Tasks[[#This Row],[Effort]]="","M",Tasks[[#This Row],[Effort]]),EffortTable,2,FALSE),0))</f>
        <v/>
      </c>
      <c r="N200" t="str">
        <f>IF(Tasks[[#This Row],[Task]]="","",IFERROR(MATCH(Tasks[[#This Row],[Status]],{"Late","Blocked","Due soon"},0),9)*100000+N(Tasks[[#This Row],[Due]]))</f>
        <v/>
      </c>
      <c r="O200" t="str" cm="1">
        <f t="array" aca="1" ref="O2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0" t="str" cm="1">
        <f t="array" ref="P2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0" t="str" cm="1">
        <f t="array" ref="Q2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0" t="str" cm="1">
        <f t="array" ref="R2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1" spans="1:18" x14ac:dyDescent="0.25">
      <c r="A201" s="14" t="str" cm="1">
        <f t="array" ref="A201">IF(Tasks[[#This Row],[Task]]="","","T-"&amp;TEXT(ROW()-ROW(Tasks[#Headers]),"000"))</f>
        <v/>
      </c>
      <c r="B201" s="15"/>
      <c r="C201" s="15"/>
      <c r="D201" s="15"/>
      <c r="E201" s="15"/>
      <c r="F201" s="16"/>
      <c r="G201" s="16"/>
      <c r="H201" s="16"/>
      <c r="I201" s="15"/>
      <c r="J201" s="15"/>
      <c r="K2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1" s="17" t="str">
        <f>IF(Tasks[[#This Row],[Task]]="","",IFERROR(VLOOKUP(IF(Tasks[[#This Row],[Effort]]="","M",Tasks[[#This Row],[Effort]]),EffortTable,2,FALSE),0))</f>
        <v/>
      </c>
      <c r="N201" t="str">
        <f>IF(Tasks[[#This Row],[Task]]="","",IFERROR(MATCH(Tasks[[#This Row],[Status]],{"Late","Blocked","Due soon"},0),9)*100000+N(Tasks[[#This Row],[Due]]))</f>
        <v/>
      </c>
      <c r="O201" t="str" cm="1">
        <f t="array" aca="1" ref="O2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1" t="str" cm="1">
        <f t="array" ref="P2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1" t="str" cm="1">
        <f t="array" ref="Q2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1" t="str" cm="1">
        <f t="array" ref="R2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2" spans="1:18" x14ac:dyDescent="0.25">
      <c r="A202" s="14" t="str" cm="1">
        <f t="array" ref="A202">IF(Tasks[[#This Row],[Task]]="","","T-"&amp;TEXT(ROW()-ROW(Tasks[#Headers]),"000"))</f>
        <v/>
      </c>
      <c r="B202" s="15"/>
      <c r="C202" s="15"/>
      <c r="D202" s="15"/>
      <c r="E202" s="15"/>
      <c r="F202" s="16"/>
      <c r="G202" s="16"/>
      <c r="H202" s="16"/>
      <c r="I202" s="15"/>
      <c r="J202" s="15"/>
      <c r="K2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2" s="17" t="str">
        <f>IF(Tasks[[#This Row],[Task]]="","",IFERROR(VLOOKUP(IF(Tasks[[#This Row],[Effort]]="","M",Tasks[[#This Row],[Effort]]),EffortTable,2,FALSE),0))</f>
        <v/>
      </c>
      <c r="N202" t="str">
        <f>IF(Tasks[[#This Row],[Task]]="","",IFERROR(MATCH(Tasks[[#This Row],[Status]],{"Late","Blocked","Due soon"},0),9)*100000+N(Tasks[[#This Row],[Due]]))</f>
        <v/>
      </c>
      <c r="O202" t="str" cm="1">
        <f t="array" aca="1" ref="O2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2" t="str" cm="1">
        <f t="array" ref="P2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2" t="str" cm="1">
        <f t="array" ref="Q2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2" t="str" cm="1">
        <f t="array" ref="R2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3" spans="1:18" x14ac:dyDescent="0.25">
      <c r="A203" s="14" t="str" cm="1">
        <f t="array" ref="A203">IF(Tasks[[#This Row],[Task]]="","","T-"&amp;TEXT(ROW()-ROW(Tasks[#Headers]),"000"))</f>
        <v/>
      </c>
      <c r="B203" s="15"/>
      <c r="C203" s="15"/>
      <c r="D203" s="15"/>
      <c r="E203" s="15"/>
      <c r="F203" s="16"/>
      <c r="G203" s="16"/>
      <c r="H203" s="16"/>
      <c r="I203" s="15"/>
      <c r="J203" s="15"/>
      <c r="K2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3" s="17" t="str">
        <f>IF(Tasks[[#This Row],[Task]]="","",IFERROR(VLOOKUP(IF(Tasks[[#This Row],[Effort]]="","M",Tasks[[#This Row],[Effort]]),EffortTable,2,FALSE),0))</f>
        <v/>
      </c>
      <c r="N203" t="str">
        <f>IF(Tasks[[#This Row],[Task]]="","",IFERROR(MATCH(Tasks[[#This Row],[Status]],{"Late","Blocked","Due soon"},0),9)*100000+N(Tasks[[#This Row],[Due]]))</f>
        <v/>
      </c>
      <c r="O203" t="str" cm="1">
        <f t="array" aca="1" ref="O2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3" t="str" cm="1">
        <f t="array" ref="P2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3" t="str" cm="1">
        <f t="array" ref="Q2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3" t="str" cm="1">
        <f t="array" ref="R2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4" spans="1:18" x14ac:dyDescent="0.25">
      <c r="A204" s="14" t="str" cm="1">
        <f t="array" ref="A204">IF(Tasks[[#This Row],[Task]]="","","T-"&amp;TEXT(ROW()-ROW(Tasks[#Headers]),"000"))</f>
        <v/>
      </c>
      <c r="B204" s="15"/>
      <c r="C204" s="15"/>
      <c r="D204" s="15"/>
      <c r="E204" s="15"/>
      <c r="F204" s="16"/>
      <c r="G204" s="16"/>
      <c r="H204" s="16"/>
      <c r="I204" s="15"/>
      <c r="J204" s="15"/>
      <c r="K2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4" s="17" t="str">
        <f>IF(Tasks[[#This Row],[Task]]="","",IFERROR(VLOOKUP(IF(Tasks[[#This Row],[Effort]]="","M",Tasks[[#This Row],[Effort]]),EffortTable,2,FALSE),0))</f>
        <v/>
      </c>
      <c r="N204" t="str">
        <f>IF(Tasks[[#This Row],[Task]]="","",IFERROR(MATCH(Tasks[[#This Row],[Status]],{"Late","Blocked","Due soon"},0),9)*100000+N(Tasks[[#This Row],[Due]]))</f>
        <v/>
      </c>
      <c r="O204" t="str" cm="1">
        <f t="array" aca="1" ref="O2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4" t="str" cm="1">
        <f t="array" ref="P2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4" t="str" cm="1">
        <f t="array" ref="Q2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4" t="str" cm="1">
        <f t="array" ref="R2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5" spans="1:18" x14ac:dyDescent="0.25">
      <c r="A205" s="14" t="str" cm="1">
        <f t="array" ref="A205">IF(Tasks[[#This Row],[Task]]="","","T-"&amp;TEXT(ROW()-ROW(Tasks[#Headers]),"000"))</f>
        <v/>
      </c>
      <c r="B205" s="15"/>
      <c r="C205" s="15"/>
      <c r="D205" s="15"/>
      <c r="E205" s="15"/>
      <c r="F205" s="16"/>
      <c r="G205" s="16"/>
      <c r="H205" s="16"/>
      <c r="I205" s="15"/>
      <c r="J205" s="15"/>
      <c r="K2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5" s="17" t="str">
        <f>IF(Tasks[[#This Row],[Task]]="","",IFERROR(VLOOKUP(IF(Tasks[[#This Row],[Effort]]="","M",Tasks[[#This Row],[Effort]]),EffortTable,2,FALSE),0))</f>
        <v/>
      </c>
      <c r="N205" t="str">
        <f>IF(Tasks[[#This Row],[Task]]="","",IFERROR(MATCH(Tasks[[#This Row],[Status]],{"Late","Blocked","Due soon"},0),9)*100000+N(Tasks[[#This Row],[Due]]))</f>
        <v/>
      </c>
      <c r="O205" t="str" cm="1">
        <f t="array" aca="1" ref="O2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5" t="str" cm="1">
        <f t="array" ref="P2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5" t="str" cm="1">
        <f t="array" ref="Q2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5" t="str" cm="1">
        <f t="array" ref="R2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6" spans="1:18" x14ac:dyDescent="0.25">
      <c r="A206" s="14" t="str" cm="1">
        <f t="array" ref="A206">IF(Tasks[[#This Row],[Task]]="","","T-"&amp;TEXT(ROW()-ROW(Tasks[#Headers]),"000"))</f>
        <v/>
      </c>
      <c r="B206" s="15"/>
      <c r="C206" s="15"/>
      <c r="D206" s="15"/>
      <c r="E206" s="15"/>
      <c r="F206" s="16"/>
      <c r="G206" s="16"/>
      <c r="H206" s="16"/>
      <c r="I206" s="15"/>
      <c r="J206" s="15"/>
      <c r="K2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6" s="17" t="str">
        <f>IF(Tasks[[#This Row],[Task]]="","",IFERROR(VLOOKUP(IF(Tasks[[#This Row],[Effort]]="","M",Tasks[[#This Row],[Effort]]),EffortTable,2,FALSE),0))</f>
        <v/>
      </c>
      <c r="N206" t="str">
        <f>IF(Tasks[[#This Row],[Task]]="","",IFERROR(MATCH(Tasks[[#This Row],[Status]],{"Late","Blocked","Due soon"},0),9)*100000+N(Tasks[[#This Row],[Due]]))</f>
        <v/>
      </c>
      <c r="O206" t="str" cm="1">
        <f t="array" aca="1" ref="O2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6" t="str" cm="1">
        <f t="array" ref="P2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6" t="str" cm="1">
        <f t="array" ref="Q2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6" t="str" cm="1">
        <f t="array" ref="R2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7" spans="1:18" x14ac:dyDescent="0.25">
      <c r="A207" s="14" t="str" cm="1">
        <f t="array" ref="A207">IF(Tasks[[#This Row],[Task]]="","","T-"&amp;TEXT(ROW()-ROW(Tasks[#Headers]),"000"))</f>
        <v/>
      </c>
      <c r="B207" s="15"/>
      <c r="C207" s="15"/>
      <c r="D207" s="15"/>
      <c r="E207" s="15"/>
      <c r="F207" s="16"/>
      <c r="G207" s="16"/>
      <c r="H207" s="16"/>
      <c r="I207" s="15"/>
      <c r="J207" s="15"/>
      <c r="K2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7" s="17" t="str">
        <f>IF(Tasks[[#This Row],[Task]]="","",IFERROR(VLOOKUP(IF(Tasks[[#This Row],[Effort]]="","M",Tasks[[#This Row],[Effort]]),EffortTable,2,FALSE),0))</f>
        <v/>
      </c>
      <c r="N207" t="str">
        <f>IF(Tasks[[#This Row],[Task]]="","",IFERROR(MATCH(Tasks[[#This Row],[Status]],{"Late","Blocked","Due soon"},0),9)*100000+N(Tasks[[#This Row],[Due]]))</f>
        <v/>
      </c>
      <c r="O207" t="str" cm="1">
        <f t="array" aca="1" ref="O2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7" t="str" cm="1">
        <f t="array" ref="P2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7" t="str" cm="1">
        <f t="array" ref="Q2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7" t="str" cm="1">
        <f t="array" ref="R2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8" spans="1:18" x14ac:dyDescent="0.25">
      <c r="A208" s="14" t="str" cm="1">
        <f t="array" ref="A208">IF(Tasks[[#This Row],[Task]]="","","T-"&amp;TEXT(ROW()-ROW(Tasks[#Headers]),"000"))</f>
        <v/>
      </c>
      <c r="B208" s="15"/>
      <c r="C208" s="15"/>
      <c r="D208" s="15"/>
      <c r="E208" s="15"/>
      <c r="F208" s="16"/>
      <c r="G208" s="16"/>
      <c r="H208" s="16"/>
      <c r="I208" s="15"/>
      <c r="J208" s="15"/>
      <c r="K2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8" s="17" t="str">
        <f>IF(Tasks[[#This Row],[Task]]="","",IFERROR(VLOOKUP(IF(Tasks[[#This Row],[Effort]]="","M",Tasks[[#This Row],[Effort]]),EffortTable,2,FALSE),0))</f>
        <v/>
      </c>
      <c r="N208" t="str">
        <f>IF(Tasks[[#This Row],[Task]]="","",IFERROR(MATCH(Tasks[[#This Row],[Status]],{"Late","Blocked","Due soon"},0),9)*100000+N(Tasks[[#This Row],[Due]]))</f>
        <v/>
      </c>
      <c r="O208" t="str" cm="1">
        <f t="array" aca="1" ref="O2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8" t="str" cm="1">
        <f t="array" ref="P2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8" t="str" cm="1">
        <f t="array" ref="Q2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8" t="str" cm="1">
        <f t="array" ref="R2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09" spans="1:18" x14ac:dyDescent="0.25">
      <c r="A209" s="14" t="str" cm="1">
        <f t="array" ref="A209">IF(Tasks[[#This Row],[Task]]="","","T-"&amp;TEXT(ROW()-ROW(Tasks[#Headers]),"000"))</f>
        <v/>
      </c>
      <c r="B209" s="15"/>
      <c r="C209" s="15"/>
      <c r="D209" s="15"/>
      <c r="E209" s="15"/>
      <c r="F209" s="16"/>
      <c r="G209" s="16"/>
      <c r="H209" s="16"/>
      <c r="I209" s="15"/>
      <c r="J209" s="15"/>
      <c r="K2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09" s="17" t="str">
        <f>IF(Tasks[[#This Row],[Task]]="","",IFERROR(VLOOKUP(IF(Tasks[[#This Row],[Effort]]="","M",Tasks[[#This Row],[Effort]]),EffortTable,2,FALSE),0))</f>
        <v/>
      </c>
      <c r="N209" t="str">
        <f>IF(Tasks[[#This Row],[Task]]="","",IFERROR(MATCH(Tasks[[#This Row],[Status]],{"Late","Blocked","Due soon"},0),9)*100000+N(Tasks[[#This Row],[Due]]))</f>
        <v/>
      </c>
      <c r="O209" t="str" cm="1">
        <f t="array" aca="1" ref="O2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09" t="str" cm="1">
        <f t="array" ref="P2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09" t="str" cm="1">
        <f t="array" ref="Q2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09" t="str" cm="1">
        <f t="array" ref="R2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0" spans="1:18" x14ac:dyDescent="0.25">
      <c r="A210" s="14" t="str" cm="1">
        <f t="array" ref="A210">IF(Tasks[[#This Row],[Task]]="","","T-"&amp;TEXT(ROW()-ROW(Tasks[#Headers]),"000"))</f>
        <v/>
      </c>
      <c r="B210" s="15"/>
      <c r="C210" s="15"/>
      <c r="D210" s="15"/>
      <c r="E210" s="15"/>
      <c r="F210" s="16"/>
      <c r="G210" s="16"/>
      <c r="H210" s="16"/>
      <c r="I210" s="15"/>
      <c r="J210" s="15"/>
      <c r="K2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0" s="17" t="str">
        <f>IF(Tasks[[#This Row],[Task]]="","",IFERROR(VLOOKUP(IF(Tasks[[#This Row],[Effort]]="","M",Tasks[[#This Row],[Effort]]),EffortTable,2,FALSE),0))</f>
        <v/>
      </c>
      <c r="N210" t="str">
        <f>IF(Tasks[[#This Row],[Task]]="","",IFERROR(MATCH(Tasks[[#This Row],[Status]],{"Late","Blocked","Due soon"},0),9)*100000+N(Tasks[[#This Row],[Due]]))</f>
        <v/>
      </c>
      <c r="O210" t="str" cm="1">
        <f t="array" aca="1" ref="O2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0" t="str" cm="1">
        <f t="array" ref="P2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0" t="str" cm="1">
        <f t="array" ref="Q2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0" t="str" cm="1">
        <f t="array" ref="R2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1" spans="1:18" x14ac:dyDescent="0.25">
      <c r="A211" s="14" t="str" cm="1">
        <f t="array" ref="A211">IF(Tasks[[#This Row],[Task]]="","","T-"&amp;TEXT(ROW()-ROW(Tasks[#Headers]),"000"))</f>
        <v/>
      </c>
      <c r="B211" s="15"/>
      <c r="C211" s="15"/>
      <c r="D211" s="15"/>
      <c r="E211" s="15"/>
      <c r="F211" s="16"/>
      <c r="G211" s="16"/>
      <c r="H211" s="16"/>
      <c r="I211" s="15"/>
      <c r="J211" s="15"/>
      <c r="K2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1" s="17" t="str">
        <f>IF(Tasks[[#This Row],[Task]]="","",IFERROR(VLOOKUP(IF(Tasks[[#This Row],[Effort]]="","M",Tasks[[#This Row],[Effort]]),EffortTable,2,FALSE),0))</f>
        <v/>
      </c>
      <c r="N211" t="str">
        <f>IF(Tasks[[#This Row],[Task]]="","",IFERROR(MATCH(Tasks[[#This Row],[Status]],{"Late","Blocked","Due soon"},0),9)*100000+N(Tasks[[#This Row],[Due]]))</f>
        <v/>
      </c>
      <c r="O211" t="str" cm="1">
        <f t="array" aca="1" ref="O2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1" t="str" cm="1">
        <f t="array" ref="P2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1" t="str" cm="1">
        <f t="array" ref="Q2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1" t="str" cm="1">
        <f t="array" ref="R2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2" spans="1:18" x14ac:dyDescent="0.25">
      <c r="A212" s="14" t="str" cm="1">
        <f t="array" ref="A212">IF(Tasks[[#This Row],[Task]]="","","T-"&amp;TEXT(ROW()-ROW(Tasks[#Headers]),"000"))</f>
        <v/>
      </c>
      <c r="B212" s="15"/>
      <c r="C212" s="15"/>
      <c r="D212" s="15"/>
      <c r="E212" s="15"/>
      <c r="F212" s="16"/>
      <c r="G212" s="16"/>
      <c r="H212" s="16"/>
      <c r="I212" s="15"/>
      <c r="J212" s="15"/>
      <c r="K2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2" s="17" t="str">
        <f>IF(Tasks[[#This Row],[Task]]="","",IFERROR(VLOOKUP(IF(Tasks[[#This Row],[Effort]]="","M",Tasks[[#This Row],[Effort]]),EffortTable,2,FALSE),0))</f>
        <v/>
      </c>
      <c r="N212" t="str">
        <f>IF(Tasks[[#This Row],[Task]]="","",IFERROR(MATCH(Tasks[[#This Row],[Status]],{"Late","Blocked","Due soon"},0),9)*100000+N(Tasks[[#This Row],[Due]]))</f>
        <v/>
      </c>
      <c r="O212" t="str" cm="1">
        <f t="array" aca="1" ref="O2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2" t="str" cm="1">
        <f t="array" ref="P2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2" t="str" cm="1">
        <f t="array" ref="Q2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2" t="str" cm="1">
        <f t="array" ref="R2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3" spans="1:18" x14ac:dyDescent="0.25">
      <c r="A213" s="14" t="str" cm="1">
        <f t="array" ref="A213">IF(Tasks[[#This Row],[Task]]="","","T-"&amp;TEXT(ROW()-ROW(Tasks[#Headers]),"000"))</f>
        <v/>
      </c>
      <c r="B213" s="15"/>
      <c r="C213" s="15"/>
      <c r="D213" s="15"/>
      <c r="E213" s="15"/>
      <c r="F213" s="16"/>
      <c r="G213" s="16"/>
      <c r="H213" s="16"/>
      <c r="I213" s="15"/>
      <c r="J213" s="15"/>
      <c r="K2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3" s="17" t="str">
        <f>IF(Tasks[[#This Row],[Task]]="","",IFERROR(VLOOKUP(IF(Tasks[[#This Row],[Effort]]="","M",Tasks[[#This Row],[Effort]]),EffortTable,2,FALSE),0))</f>
        <v/>
      </c>
      <c r="N213" t="str">
        <f>IF(Tasks[[#This Row],[Task]]="","",IFERROR(MATCH(Tasks[[#This Row],[Status]],{"Late","Blocked","Due soon"},0),9)*100000+N(Tasks[[#This Row],[Due]]))</f>
        <v/>
      </c>
      <c r="O213" t="str" cm="1">
        <f t="array" aca="1" ref="O2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3" t="str" cm="1">
        <f t="array" ref="P2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3" t="str" cm="1">
        <f t="array" ref="Q2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3" t="str" cm="1">
        <f t="array" ref="R2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4" spans="1:18" x14ac:dyDescent="0.25">
      <c r="A214" s="14" t="str" cm="1">
        <f t="array" ref="A214">IF(Tasks[[#This Row],[Task]]="","","T-"&amp;TEXT(ROW()-ROW(Tasks[#Headers]),"000"))</f>
        <v/>
      </c>
      <c r="B214" s="15"/>
      <c r="C214" s="15"/>
      <c r="D214" s="15"/>
      <c r="E214" s="15"/>
      <c r="F214" s="16"/>
      <c r="G214" s="16"/>
      <c r="H214" s="16"/>
      <c r="I214" s="15"/>
      <c r="J214" s="15"/>
      <c r="K2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4" s="17" t="str">
        <f>IF(Tasks[[#This Row],[Task]]="","",IFERROR(VLOOKUP(IF(Tasks[[#This Row],[Effort]]="","M",Tasks[[#This Row],[Effort]]),EffortTable,2,FALSE),0))</f>
        <v/>
      </c>
      <c r="N214" t="str">
        <f>IF(Tasks[[#This Row],[Task]]="","",IFERROR(MATCH(Tasks[[#This Row],[Status]],{"Late","Blocked","Due soon"},0),9)*100000+N(Tasks[[#This Row],[Due]]))</f>
        <v/>
      </c>
      <c r="O214" t="str" cm="1">
        <f t="array" aca="1" ref="O2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4" t="str" cm="1">
        <f t="array" ref="P2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4" t="str" cm="1">
        <f t="array" ref="Q2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4" t="str" cm="1">
        <f t="array" ref="R2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5" spans="1:18" x14ac:dyDescent="0.25">
      <c r="A215" s="14" t="str" cm="1">
        <f t="array" ref="A215">IF(Tasks[[#This Row],[Task]]="","","T-"&amp;TEXT(ROW()-ROW(Tasks[#Headers]),"000"))</f>
        <v/>
      </c>
      <c r="B215" s="15"/>
      <c r="C215" s="15"/>
      <c r="D215" s="15"/>
      <c r="E215" s="15"/>
      <c r="F215" s="16"/>
      <c r="G215" s="16"/>
      <c r="H215" s="16"/>
      <c r="I215" s="15"/>
      <c r="J215" s="15"/>
      <c r="K2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5" s="17" t="str">
        <f>IF(Tasks[[#This Row],[Task]]="","",IFERROR(VLOOKUP(IF(Tasks[[#This Row],[Effort]]="","M",Tasks[[#This Row],[Effort]]),EffortTable,2,FALSE),0))</f>
        <v/>
      </c>
      <c r="N215" t="str">
        <f>IF(Tasks[[#This Row],[Task]]="","",IFERROR(MATCH(Tasks[[#This Row],[Status]],{"Late","Blocked","Due soon"},0),9)*100000+N(Tasks[[#This Row],[Due]]))</f>
        <v/>
      </c>
      <c r="O215" t="str" cm="1">
        <f t="array" aca="1" ref="O2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5" t="str" cm="1">
        <f t="array" ref="P2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5" t="str" cm="1">
        <f t="array" ref="Q2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5" t="str" cm="1">
        <f t="array" ref="R2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6" spans="1:18" x14ac:dyDescent="0.25">
      <c r="A216" s="14" t="str" cm="1">
        <f t="array" ref="A216">IF(Tasks[[#This Row],[Task]]="","","T-"&amp;TEXT(ROW()-ROW(Tasks[#Headers]),"000"))</f>
        <v/>
      </c>
      <c r="B216" s="15"/>
      <c r="C216" s="15"/>
      <c r="D216" s="15"/>
      <c r="E216" s="15"/>
      <c r="F216" s="16"/>
      <c r="G216" s="16"/>
      <c r="H216" s="16"/>
      <c r="I216" s="15"/>
      <c r="J216" s="15"/>
      <c r="K2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6" s="17" t="str">
        <f>IF(Tasks[[#This Row],[Task]]="","",IFERROR(VLOOKUP(IF(Tasks[[#This Row],[Effort]]="","M",Tasks[[#This Row],[Effort]]),EffortTable,2,FALSE),0))</f>
        <v/>
      </c>
      <c r="N216" t="str">
        <f>IF(Tasks[[#This Row],[Task]]="","",IFERROR(MATCH(Tasks[[#This Row],[Status]],{"Late","Blocked","Due soon"},0),9)*100000+N(Tasks[[#This Row],[Due]]))</f>
        <v/>
      </c>
      <c r="O216" t="str" cm="1">
        <f t="array" aca="1" ref="O2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6" t="str" cm="1">
        <f t="array" ref="P2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6" t="str" cm="1">
        <f t="array" ref="Q2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6" t="str" cm="1">
        <f t="array" ref="R2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7" spans="1:18" x14ac:dyDescent="0.25">
      <c r="A217" s="14" t="str" cm="1">
        <f t="array" ref="A217">IF(Tasks[[#This Row],[Task]]="","","T-"&amp;TEXT(ROW()-ROW(Tasks[#Headers]),"000"))</f>
        <v/>
      </c>
      <c r="B217" s="15"/>
      <c r="C217" s="15"/>
      <c r="D217" s="15"/>
      <c r="E217" s="15"/>
      <c r="F217" s="16"/>
      <c r="G217" s="16"/>
      <c r="H217" s="16"/>
      <c r="I217" s="15"/>
      <c r="J217" s="15"/>
      <c r="K2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7" s="17" t="str">
        <f>IF(Tasks[[#This Row],[Task]]="","",IFERROR(VLOOKUP(IF(Tasks[[#This Row],[Effort]]="","M",Tasks[[#This Row],[Effort]]),EffortTable,2,FALSE),0))</f>
        <v/>
      </c>
      <c r="N217" t="str">
        <f>IF(Tasks[[#This Row],[Task]]="","",IFERROR(MATCH(Tasks[[#This Row],[Status]],{"Late","Blocked","Due soon"},0),9)*100000+N(Tasks[[#This Row],[Due]]))</f>
        <v/>
      </c>
      <c r="O217" t="str" cm="1">
        <f t="array" aca="1" ref="O2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7" t="str" cm="1">
        <f t="array" ref="P2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7" t="str" cm="1">
        <f t="array" ref="Q2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7" t="str" cm="1">
        <f t="array" ref="R2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8" spans="1:18" x14ac:dyDescent="0.25">
      <c r="A218" s="14" t="str" cm="1">
        <f t="array" ref="A218">IF(Tasks[[#This Row],[Task]]="","","T-"&amp;TEXT(ROW()-ROW(Tasks[#Headers]),"000"))</f>
        <v/>
      </c>
      <c r="B218" s="15"/>
      <c r="C218" s="15"/>
      <c r="D218" s="15"/>
      <c r="E218" s="15"/>
      <c r="F218" s="16"/>
      <c r="G218" s="16"/>
      <c r="H218" s="16"/>
      <c r="I218" s="15"/>
      <c r="J218" s="15"/>
      <c r="K2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8" s="17" t="str">
        <f>IF(Tasks[[#This Row],[Task]]="","",IFERROR(VLOOKUP(IF(Tasks[[#This Row],[Effort]]="","M",Tasks[[#This Row],[Effort]]),EffortTable,2,FALSE),0))</f>
        <v/>
      </c>
      <c r="N218" t="str">
        <f>IF(Tasks[[#This Row],[Task]]="","",IFERROR(MATCH(Tasks[[#This Row],[Status]],{"Late","Blocked","Due soon"},0),9)*100000+N(Tasks[[#This Row],[Due]]))</f>
        <v/>
      </c>
      <c r="O218" t="str" cm="1">
        <f t="array" aca="1" ref="O2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8" t="str" cm="1">
        <f t="array" ref="P2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8" t="str" cm="1">
        <f t="array" ref="Q2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8" t="str" cm="1">
        <f t="array" ref="R2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19" spans="1:18" x14ac:dyDescent="0.25">
      <c r="A219" s="14" t="str" cm="1">
        <f t="array" ref="A219">IF(Tasks[[#This Row],[Task]]="","","T-"&amp;TEXT(ROW()-ROW(Tasks[#Headers]),"000"))</f>
        <v/>
      </c>
      <c r="B219" s="15"/>
      <c r="C219" s="15"/>
      <c r="D219" s="15"/>
      <c r="E219" s="15"/>
      <c r="F219" s="16"/>
      <c r="G219" s="16"/>
      <c r="H219" s="16"/>
      <c r="I219" s="15"/>
      <c r="J219" s="15"/>
      <c r="K2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19" s="17" t="str">
        <f>IF(Tasks[[#This Row],[Task]]="","",IFERROR(VLOOKUP(IF(Tasks[[#This Row],[Effort]]="","M",Tasks[[#This Row],[Effort]]),EffortTable,2,FALSE),0))</f>
        <v/>
      </c>
      <c r="N219" t="str">
        <f>IF(Tasks[[#This Row],[Task]]="","",IFERROR(MATCH(Tasks[[#This Row],[Status]],{"Late","Blocked","Due soon"},0),9)*100000+N(Tasks[[#This Row],[Due]]))</f>
        <v/>
      </c>
      <c r="O219" t="str" cm="1">
        <f t="array" aca="1" ref="O2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19" t="str" cm="1">
        <f t="array" ref="P2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19" t="str" cm="1">
        <f t="array" ref="Q2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19" t="str" cm="1">
        <f t="array" ref="R2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0" spans="1:18" x14ac:dyDescent="0.25">
      <c r="A220" s="14" t="str" cm="1">
        <f t="array" ref="A220">IF(Tasks[[#This Row],[Task]]="","","T-"&amp;TEXT(ROW()-ROW(Tasks[#Headers]),"000"))</f>
        <v/>
      </c>
      <c r="B220" s="15"/>
      <c r="C220" s="15"/>
      <c r="D220" s="15"/>
      <c r="E220" s="15"/>
      <c r="F220" s="16"/>
      <c r="G220" s="16"/>
      <c r="H220" s="16"/>
      <c r="I220" s="15"/>
      <c r="J220" s="15"/>
      <c r="K2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0" s="17" t="str">
        <f>IF(Tasks[[#This Row],[Task]]="","",IFERROR(VLOOKUP(IF(Tasks[[#This Row],[Effort]]="","M",Tasks[[#This Row],[Effort]]),EffortTable,2,FALSE),0))</f>
        <v/>
      </c>
      <c r="N220" t="str">
        <f>IF(Tasks[[#This Row],[Task]]="","",IFERROR(MATCH(Tasks[[#This Row],[Status]],{"Late","Blocked","Due soon"},0),9)*100000+N(Tasks[[#This Row],[Due]]))</f>
        <v/>
      </c>
      <c r="O220" t="str" cm="1">
        <f t="array" aca="1" ref="O2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0" t="str" cm="1">
        <f t="array" ref="P2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0" t="str" cm="1">
        <f t="array" ref="Q2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0" t="str" cm="1">
        <f t="array" ref="R2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1" spans="1:18" x14ac:dyDescent="0.25">
      <c r="A221" s="14" t="str" cm="1">
        <f t="array" ref="A221">IF(Tasks[[#This Row],[Task]]="","","T-"&amp;TEXT(ROW()-ROW(Tasks[#Headers]),"000"))</f>
        <v/>
      </c>
      <c r="B221" s="15"/>
      <c r="C221" s="15"/>
      <c r="D221" s="15"/>
      <c r="E221" s="15"/>
      <c r="F221" s="16"/>
      <c r="G221" s="16"/>
      <c r="H221" s="16"/>
      <c r="I221" s="15"/>
      <c r="J221" s="15"/>
      <c r="K2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1" s="17" t="str">
        <f>IF(Tasks[[#This Row],[Task]]="","",IFERROR(VLOOKUP(IF(Tasks[[#This Row],[Effort]]="","M",Tasks[[#This Row],[Effort]]),EffortTable,2,FALSE),0))</f>
        <v/>
      </c>
      <c r="N221" t="str">
        <f>IF(Tasks[[#This Row],[Task]]="","",IFERROR(MATCH(Tasks[[#This Row],[Status]],{"Late","Blocked","Due soon"},0),9)*100000+N(Tasks[[#This Row],[Due]]))</f>
        <v/>
      </c>
      <c r="O221" t="str" cm="1">
        <f t="array" aca="1" ref="O2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1" t="str" cm="1">
        <f t="array" ref="P2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1" t="str" cm="1">
        <f t="array" ref="Q2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1" t="str" cm="1">
        <f t="array" ref="R2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2" spans="1:18" x14ac:dyDescent="0.25">
      <c r="A222" s="14" t="str" cm="1">
        <f t="array" ref="A222">IF(Tasks[[#This Row],[Task]]="","","T-"&amp;TEXT(ROW()-ROW(Tasks[#Headers]),"000"))</f>
        <v/>
      </c>
      <c r="B222" s="15"/>
      <c r="C222" s="15"/>
      <c r="D222" s="15"/>
      <c r="E222" s="15"/>
      <c r="F222" s="16"/>
      <c r="G222" s="16"/>
      <c r="H222" s="16"/>
      <c r="I222" s="15"/>
      <c r="J222" s="15"/>
      <c r="K2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2" s="17" t="str">
        <f>IF(Tasks[[#This Row],[Task]]="","",IFERROR(VLOOKUP(IF(Tasks[[#This Row],[Effort]]="","M",Tasks[[#This Row],[Effort]]),EffortTable,2,FALSE),0))</f>
        <v/>
      </c>
      <c r="N222" t="str">
        <f>IF(Tasks[[#This Row],[Task]]="","",IFERROR(MATCH(Tasks[[#This Row],[Status]],{"Late","Blocked","Due soon"},0),9)*100000+N(Tasks[[#This Row],[Due]]))</f>
        <v/>
      </c>
      <c r="O222" t="str" cm="1">
        <f t="array" aca="1" ref="O2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2" t="str" cm="1">
        <f t="array" ref="P2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2" t="str" cm="1">
        <f t="array" ref="Q2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2" t="str" cm="1">
        <f t="array" ref="R2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3" spans="1:18" x14ac:dyDescent="0.25">
      <c r="A223" s="14" t="str" cm="1">
        <f t="array" ref="A223">IF(Tasks[[#This Row],[Task]]="","","T-"&amp;TEXT(ROW()-ROW(Tasks[#Headers]),"000"))</f>
        <v/>
      </c>
      <c r="B223" s="15"/>
      <c r="C223" s="15"/>
      <c r="D223" s="15"/>
      <c r="E223" s="15"/>
      <c r="F223" s="16"/>
      <c r="G223" s="16"/>
      <c r="H223" s="16"/>
      <c r="I223" s="15"/>
      <c r="J223" s="15"/>
      <c r="K2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3" s="17" t="str">
        <f>IF(Tasks[[#This Row],[Task]]="","",IFERROR(VLOOKUP(IF(Tasks[[#This Row],[Effort]]="","M",Tasks[[#This Row],[Effort]]),EffortTable,2,FALSE),0))</f>
        <v/>
      </c>
      <c r="N223" t="str">
        <f>IF(Tasks[[#This Row],[Task]]="","",IFERROR(MATCH(Tasks[[#This Row],[Status]],{"Late","Blocked","Due soon"},0),9)*100000+N(Tasks[[#This Row],[Due]]))</f>
        <v/>
      </c>
      <c r="O223" t="str" cm="1">
        <f t="array" aca="1" ref="O2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3" t="str" cm="1">
        <f t="array" ref="P2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3" t="str" cm="1">
        <f t="array" ref="Q2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3" t="str" cm="1">
        <f t="array" ref="R2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4" spans="1:18" x14ac:dyDescent="0.25">
      <c r="A224" s="14" t="str" cm="1">
        <f t="array" ref="A224">IF(Tasks[[#This Row],[Task]]="","","T-"&amp;TEXT(ROW()-ROW(Tasks[#Headers]),"000"))</f>
        <v/>
      </c>
      <c r="B224" s="15"/>
      <c r="C224" s="15"/>
      <c r="D224" s="15"/>
      <c r="E224" s="15"/>
      <c r="F224" s="16"/>
      <c r="G224" s="16"/>
      <c r="H224" s="16"/>
      <c r="I224" s="15"/>
      <c r="J224" s="15"/>
      <c r="K2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4" s="17" t="str">
        <f>IF(Tasks[[#This Row],[Task]]="","",IFERROR(VLOOKUP(IF(Tasks[[#This Row],[Effort]]="","M",Tasks[[#This Row],[Effort]]),EffortTable,2,FALSE),0))</f>
        <v/>
      </c>
      <c r="N224" t="str">
        <f>IF(Tasks[[#This Row],[Task]]="","",IFERROR(MATCH(Tasks[[#This Row],[Status]],{"Late","Blocked","Due soon"},0),9)*100000+N(Tasks[[#This Row],[Due]]))</f>
        <v/>
      </c>
      <c r="O224" t="str" cm="1">
        <f t="array" aca="1" ref="O2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4" t="str" cm="1">
        <f t="array" ref="P2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4" t="str" cm="1">
        <f t="array" ref="Q2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4" t="str" cm="1">
        <f t="array" ref="R2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5" spans="1:18" x14ac:dyDescent="0.25">
      <c r="A225" s="14" t="str" cm="1">
        <f t="array" ref="A225">IF(Tasks[[#This Row],[Task]]="","","T-"&amp;TEXT(ROW()-ROW(Tasks[#Headers]),"000"))</f>
        <v/>
      </c>
      <c r="B225" s="15"/>
      <c r="C225" s="15"/>
      <c r="D225" s="15"/>
      <c r="E225" s="15"/>
      <c r="F225" s="16"/>
      <c r="G225" s="16"/>
      <c r="H225" s="16"/>
      <c r="I225" s="15"/>
      <c r="J225" s="15"/>
      <c r="K2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5" s="17" t="str">
        <f>IF(Tasks[[#This Row],[Task]]="","",IFERROR(VLOOKUP(IF(Tasks[[#This Row],[Effort]]="","M",Tasks[[#This Row],[Effort]]),EffortTable,2,FALSE),0))</f>
        <v/>
      </c>
      <c r="N225" t="str">
        <f>IF(Tasks[[#This Row],[Task]]="","",IFERROR(MATCH(Tasks[[#This Row],[Status]],{"Late","Blocked","Due soon"},0),9)*100000+N(Tasks[[#This Row],[Due]]))</f>
        <v/>
      </c>
      <c r="O225" t="str" cm="1">
        <f t="array" aca="1" ref="O2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5" t="str" cm="1">
        <f t="array" ref="P2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5" t="str" cm="1">
        <f t="array" ref="Q2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5" t="str" cm="1">
        <f t="array" ref="R2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6" spans="1:18" x14ac:dyDescent="0.25">
      <c r="A226" s="14" t="str" cm="1">
        <f t="array" ref="A226">IF(Tasks[[#This Row],[Task]]="","","T-"&amp;TEXT(ROW()-ROW(Tasks[#Headers]),"000"))</f>
        <v/>
      </c>
      <c r="B226" s="15"/>
      <c r="C226" s="15"/>
      <c r="D226" s="15"/>
      <c r="E226" s="15"/>
      <c r="F226" s="16"/>
      <c r="G226" s="16"/>
      <c r="H226" s="16"/>
      <c r="I226" s="15"/>
      <c r="J226" s="15"/>
      <c r="K2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6" s="17" t="str">
        <f>IF(Tasks[[#This Row],[Task]]="","",IFERROR(VLOOKUP(IF(Tasks[[#This Row],[Effort]]="","M",Tasks[[#This Row],[Effort]]),EffortTable,2,FALSE),0))</f>
        <v/>
      </c>
      <c r="N226" t="str">
        <f>IF(Tasks[[#This Row],[Task]]="","",IFERROR(MATCH(Tasks[[#This Row],[Status]],{"Late","Blocked","Due soon"},0),9)*100000+N(Tasks[[#This Row],[Due]]))</f>
        <v/>
      </c>
      <c r="O226" t="str" cm="1">
        <f t="array" aca="1" ref="O2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6" t="str" cm="1">
        <f t="array" ref="P2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6" t="str" cm="1">
        <f t="array" ref="Q2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6" t="str" cm="1">
        <f t="array" ref="R2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7" spans="1:18" x14ac:dyDescent="0.25">
      <c r="A227" s="14" t="str" cm="1">
        <f t="array" ref="A227">IF(Tasks[[#This Row],[Task]]="","","T-"&amp;TEXT(ROW()-ROW(Tasks[#Headers]),"000"))</f>
        <v/>
      </c>
      <c r="B227" s="15"/>
      <c r="C227" s="15"/>
      <c r="D227" s="15"/>
      <c r="E227" s="15"/>
      <c r="F227" s="16"/>
      <c r="G227" s="16"/>
      <c r="H227" s="16"/>
      <c r="I227" s="15"/>
      <c r="J227" s="15"/>
      <c r="K2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7" s="17" t="str">
        <f>IF(Tasks[[#This Row],[Task]]="","",IFERROR(VLOOKUP(IF(Tasks[[#This Row],[Effort]]="","M",Tasks[[#This Row],[Effort]]),EffortTable,2,FALSE),0))</f>
        <v/>
      </c>
      <c r="N227" t="str">
        <f>IF(Tasks[[#This Row],[Task]]="","",IFERROR(MATCH(Tasks[[#This Row],[Status]],{"Late","Blocked","Due soon"},0),9)*100000+N(Tasks[[#This Row],[Due]]))</f>
        <v/>
      </c>
      <c r="O227" t="str" cm="1">
        <f t="array" aca="1" ref="O2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7" t="str" cm="1">
        <f t="array" ref="P2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7" t="str" cm="1">
        <f t="array" ref="Q2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7" t="str" cm="1">
        <f t="array" ref="R2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8" spans="1:18" x14ac:dyDescent="0.25">
      <c r="A228" s="14" t="str" cm="1">
        <f t="array" ref="A228">IF(Tasks[[#This Row],[Task]]="","","T-"&amp;TEXT(ROW()-ROW(Tasks[#Headers]),"000"))</f>
        <v/>
      </c>
      <c r="B228" s="15"/>
      <c r="C228" s="15"/>
      <c r="D228" s="15"/>
      <c r="E228" s="15"/>
      <c r="F228" s="16"/>
      <c r="G228" s="16"/>
      <c r="H228" s="16"/>
      <c r="I228" s="15"/>
      <c r="J228" s="15"/>
      <c r="K2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8" s="17" t="str">
        <f>IF(Tasks[[#This Row],[Task]]="","",IFERROR(VLOOKUP(IF(Tasks[[#This Row],[Effort]]="","M",Tasks[[#This Row],[Effort]]),EffortTable,2,FALSE),0))</f>
        <v/>
      </c>
      <c r="N228" t="str">
        <f>IF(Tasks[[#This Row],[Task]]="","",IFERROR(MATCH(Tasks[[#This Row],[Status]],{"Late","Blocked","Due soon"},0),9)*100000+N(Tasks[[#This Row],[Due]]))</f>
        <v/>
      </c>
      <c r="O228" t="str" cm="1">
        <f t="array" aca="1" ref="O2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8" t="str" cm="1">
        <f t="array" ref="P2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8" t="str" cm="1">
        <f t="array" ref="Q2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8" t="str" cm="1">
        <f t="array" ref="R2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29" spans="1:18" x14ac:dyDescent="0.25">
      <c r="A229" s="14" t="str" cm="1">
        <f t="array" ref="A229">IF(Tasks[[#This Row],[Task]]="","","T-"&amp;TEXT(ROW()-ROW(Tasks[#Headers]),"000"))</f>
        <v/>
      </c>
      <c r="B229" s="15"/>
      <c r="C229" s="15"/>
      <c r="D229" s="15"/>
      <c r="E229" s="15"/>
      <c r="F229" s="16"/>
      <c r="G229" s="16"/>
      <c r="H229" s="16"/>
      <c r="I229" s="15"/>
      <c r="J229" s="15"/>
      <c r="K2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29" s="17" t="str">
        <f>IF(Tasks[[#This Row],[Task]]="","",IFERROR(VLOOKUP(IF(Tasks[[#This Row],[Effort]]="","M",Tasks[[#This Row],[Effort]]),EffortTable,2,FALSE),0))</f>
        <v/>
      </c>
      <c r="N229" t="str">
        <f>IF(Tasks[[#This Row],[Task]]="","",IFERROR(MATCH(Tasks[[#This Row],[Status]],{"Late","Blocked","Due soon"},0),9)*100000+N(Tasks[[#This Row],[Due]]))</f>
        <v/>
      </c>
      <c r="O229" t="str" cm="1">
        <f t="array" aca="1" ref="O2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29" t="str" cm="1">
        <f t="array" ref="P2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29" t="str" cm="1">
        <f t="array" ref="Q2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29" t="str" cm="1">
        <f t="array" ref="R2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0" spans="1:18" x14ac:dyDescent="0.25">
      <c r="A230" s="14" t="str" cm="1">
        <f t="array" ref="A230">IF(Tasks[[#This Row],[Task]]="","","T-"&amp;TEXT(ROW()-ROW(Tasks[#Headers]),"000"))</f>
        <v/>
      </c>
      <c r="B230" s="15"/>
      <c r="C230" s="15"/>
      <c r="D230" s="15"/>
      <c r="E230" s="15"/>
      <c r="F230" s="16"/>
      <c r="G230" s="16"/>
      <c r="H230" s="16"/>
      <c r="I230" s="15"/>
      <c r="J230" s="15"/>
      <c r="K2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0" s="17" t="str">
        <f>IF(Tasks[[#This Row],[Task]]="","",IFERROR(VLOOKUP(IF(Tasks[[#This Row],[Effort]]="","M",Tasks[[#This Row],[Effort]]),EffortTable,2,FALSE),0))</f>
        <v/>
      </c>
      <c r="N230" t="str">
        <f>IF(Tasks[[#This Row],[Task]]="","",IFERROR(MATCH(Tasks[[#This Row],[Status]],{"Late","Blocked","Due soon"},0),9)*100000+N(Tasks[[#This Row],[Due]]))</f>
        <v/>
      </c>
      <c r="O230" t="str" cm="1">
        <f t="array" aca="1" ref="O2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0" t="str" cm="1">
        <f t="array" ref="P2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0" t="str" cm="1">
        <f t="array" ref="Q2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0" t="str" cm="1">
        <f t="array" ref="R2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1" spans="1:18" x14ac:dyDescent="0.25">
      <c r="A231" s="14" t="str" cm="1">
        <f t="array" ref="A231">IF(Tasks[[#This Row],[Task]]="","","T-"&amp;TEXT(ROW()-ROW(Tasks[#Headers]),"000"))</f>
        <v/>
      </c>
      <c r="B231" s="15"/>
      <c r="C231" s="15"/>
      <c r="D231" s="15"/>
      <c r="E231" s="15"/>
      <c r="F231" s="16"/>
      <c r="G231" s="16"/>
      <c r="H231" s="16"/>
      <c r="I231" s="15"/>
      <c r="J231" s="15"/>
      <c r="K2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1" s="17" t="str">
        <f>IF(Tasks[[#This Row],[Task]]="","",IFERROR(VLOOKUP(IF(Tasks[[#This Row],[Effort]]="","M",Tasks[[#This Row],[Effort]]),EffortTable,2,FALSE),0))</f>
        <v/>
      </c>
      <c r="N231" t="str">
        <f>IF(Tasks[[#This Row],[Task]]="","",IFERROR(MATCH(Tasks[[#This Row],[Status]],{"Late","Blocked","Due soon"},0),9)*100000+N(Tasks[[#This Row],[Due]]))</f>
        <v/>
      </c>
      <c r="O231" t="str" cm="1">
        <f t="array" aca="1" ref="O2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1" t="str" cm="1">
        <f t="array" ref="P2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1" t="str" cm="1">
        <f t="array" ref="Q2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1" t="str" cm="1">
        <f t="array" ref="R2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2" spans="1:18" x14ac:dyDescent="0.25">
      <c r="A232" s="14" t="str" cm="1">
        <f t="array" ref="A232">IF(Tasks[[#This Row],[Task]]="","","T-"&amp;TEXT(ROW()-ROW(Tasks[#Headers]),"000"))</f>
        <v/>
      </c>
      <c r="B232" s="15"/>
      <c r="C232" s="15"/>
      <c r="D232" s="15"/>
      <c r="E232" s="15"/>
      <c r="F232" s="16"/>
      <c r="G232" s="16"/>
      <c r="H232" s="16"/>
      <c r="I232" s="15"/>
      <c r="J232" s="15"/>
      <c r="K2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2" s="17" t="str">
        <f>IF(Tasks[[#This Row],[Task]]="","",IFERROR(VLOOKUP(IF(Tasks[[#This Row],[Effort]]="","M",Tasks[[#This Row],[Effort]]),EffortTable,2,FALSE),0))</f>
        <v/>
      </c>
      <c r="N232" t="str">
        <f>IF(Tasks[[#This Row],[Task]]="","",IFERROR(MATCH(Tasks[[#This Row],[Status]],{"Late","Blocked","Due soon"},0),9)*100000+N(Tasks[[#This Row],[Due]]))</f>
        <v/>
      </c>
      <c r="O232" t="str" cm="1">
        <f t="array" aca="1" ref="O2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2" t="str" cm="1">
        <f t="array" ref="P2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2" t="str" cm="1">
        <f t="array" ref="Q2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2" t="str" cm="1">
        <f t="array" ref="R2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3" spans="1:18" x14ac:dyDescent="0.25">
      <c r="A233" s="14" t="str" cm="1">
        <f t="array" ref="A233">IF(Tasks[[#This Row],[Task]]="","","T-"&amp;TEXT(ROW()-ROW(Tasks[#Headers]),"000"))</f>
        <v/>
      </c>
      <c r="B233" s="15"/>
      <c r="C233" s="15"/>
      <c r="D233" s="15"/>
      <c r="E233" s="15"/>
      <c r="F233" s="16"/>
      <c r="G233" s="16"/>
      <c r="H233" s="16"/>
      <c r="I233" s="15"/>
      <c r="J233" s="15"/>
      <c r="K2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3" s="17" t="str">
        <f>IF(Tasks[[#This Row],[Task]]="","",IFERROR(VLOOKUP(IF(Tasks[[#This Row],[Effort]]="","M",Tasks[[#This Row],[Effort]]),EffortTable,2,FALSE),0))</f>
        <v/>
      </c>
      <c r="N233" t="str">
        <f>IF(Tasks[[#This Row],[Task]]="","",IFERROR(MATCH(Tasks[[#This Row],[Status]],{"Late","Blocked","Due soon"},0),9)*100000+N(Tasks[[#This Row],[Due]]))</f>
        <v/>
      </c>
      <c r="O233" t="str" cm="1">
        <f t="array" aca="1" ref="O2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3" t="str" cm="1">
        <f t="array" ref="P2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3" t="str" cm="1">
        <f t="array" ref="Q2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3" t="str" cm="1">
        <f t="array" ref="R2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4" spans="1:18" x14ac:dyDescent="0.25">
      <c r="A234" s="14" t="str" cm="1">
        <f t="array" ref="A234">IF(Tasks[[#This Row],[Task]]="","","T-"&amp;TEXT(ROW()-ROW(Tasks[#Headers]),"000"))</f>
        <v/>
      </c>
      <c r="B234" s="15"/>
      <c r="C234" s="15"/>
      <c r="D234" s="15"/>
      <c r="E234" s="15"/>
      <c r="F234" s="16"/>
      <c r="G234" s="16"/>
      <c r="H234" s="16"/>
      <c r="I234" s="15"/>
      <c r="J234" s="15"/>
      <c r="K2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4" s="17" t="str">
        <f>IF(Tasks[[#This Row],[Task]]="","",IFERROR(VLOOKUP(IF(Tasks[[#This Row],[Effort]]="","M",Tasks[[#This Row],[Effort]]),EffortTable,2,FALSE),0))</f>
        <v/>
      </c>
      <c r="N234" t="str">
        <f>IF(Tasks[[#This Row],[Task]]="","",IFERROR(MATCH(Tasks[[#This Row],[Status]],{"Late","Blocked","Due soon"},0),9)*100000+N(Tasks[[#This Row],[Due]]))</f>
        <v/>
      </c>
      <c r="O234" t="str" cm="1">
        <f t="array" aca="1" ref="O2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4" t="str" cm="1">
        <f t="array" ref="P2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4" t="str" cm="1">
        <f t="array" ref="Q2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4" t="str" cm="1">
        <f t="array" ref="R2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5" spans="1:18" x14ac:dyDescent="0.25">
      <c r="A235" s="14" t="str" cm="1">
        <f t="array" ref="A235">IF(Tasks[[#This Row],[Task]]="","","T-"&amp;TEXT(ROW()-ROW(Tasks[#Headers]),"000"))</f>
        <v/>
      </c>
      <c r="B235" s="15"/>
      <c r="C235" s="15"/>
      <c r="D235" s="15"/>
      <c r="E235" s="15"/>
      <c r="F235" s="16"/>
      <c r="G235" s="16"/>
      <c r="H235" s="16"/>
      <c r="I235" s="15"/>
      <c r="J235" s="15"/>
      <c r="K2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5" s="17" t="str">
        <f>IF(Tasks[[#This Row],[Task]]="","",IFERROR(VLOOKUP(IF(Tasks[[#This Row],[Effort]]="","M",Tasks[[#This Row],[Effort]]),EffortTable,2,FALSE),0))</f>
        <v/>
      </c>
      <c r="N235" t="str">
        <f>IF(Tasks[[#This Row],[Task]]="","",IFERROR(MATCH(Tasks[[#This Row],[Status]],{"Late","Blocked","Due soon"},0),9)*100000+N(Tasks[[#This Row],[Due]]))</f>
        <v/>
      </c>
      <c r="O235" t="str" cm="1">
        <f t="array" aca="1" ref="O2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5" t="str" cm="1">
        <f t="array" ref="P2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5" t="str" cm="1">
        <f t="array" ref="Q2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5" t="str" cm="1">
        <f t="array" ref="R2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6" spans="1:18" x14ac:dyDescent="0.25">
      <c r="A236" s="14" t="str" cm="1">
        <f t="array" ref="A236">IF(Tasks[[#This Row],[Task]]="","","T-"&amp;TEXT(ROW()-ROW(Tasks[#Headers]),"000"))</f>
        <v/>
      </c>
      <c r="B236" s="15"/>
      <c r="C236" s="15"/>
      <c r="D236" s="15"/>
      <c r="E236" s="15"/>
      <c r="F236" s="16"/>
      <c r="G236" s="16"/>
      <c r="H236" s="16"/>
      <c r="I236" s="15"/>
      <c r="J236" s="15"/>
      <c r="K2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6" s="17" t="str">
        <f>IF(Tasks[[#This Row],[Task]]="","",IFERROR(VLOOKUP(IF(Tasks[[#This Row],[Effort]]="","M",Tasks[[#This Row],[Effort]]),EffortTable,2,FALSE),0))</f>
        <v/>
      </c>
      <c r="N236" t="str">
        <f>IF(Tasks[[#This Row],[Task]]="","",IFERROR(MATCH(Tasks[[#This Row],[Status]],{"Late","Blocked","Due soon"},0),9)*100000+N(Tasks[[#This Row],[Due]]))</f>
        <v/>
      </c>
      <c r="O236" t="str" cm="1">
        <f t="array" aca="1" ref="O2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6" t="str" cm="1">
        <f t="array" ref="P2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6" t="str" cm="1">
        <f t="array" ref="Q2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6" t="str" cm="1">
        <f t="array" ref="R2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7" spans="1:18" x14ac:dyDescent="0.25">
      <c r="A237" s="14" t="str" cm="1">
        <f t="array" ref="A237">IF(Tasks[[#This Row],[Task]]="","","T-"&amp;TEXT(ROW()-ROW(Tasks[#Headers]),"000"))</f>
        <v/>
      </c>
      <c r="B237" s="15"/>
      <c r="C237" s="15"/>
      <c r="D237" s="15"/>
      <c r="E237" s="15"/>
      <c r="F237" s="16"/>
      <c r="G237" s="16"/>
      <c r="H237" s="16"/>
      <c r="I237" s="15"/>
      <c r="J237" s="15"/>
      <c r="K2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7" s="17" t="str">
        <f>IF(Tasks[[#This Row],[Task]]="","",IFERROR(VLOOKUP(IF(Tasks[[#This Row],[Effort]]="","M",Tasks[[#This Row],[Effort]]),EffortTable,2,FALSE),0))</f>
        <v/>
      </c>
      <c r="N237" t="str">
        <f>IF(Tasks[[#This Row],[Task]]="","",IFERROR(MATCH(Tasks[[#This Row],[Status]],{"Late","Blocked","Due soon"},0),9)*100000+N(Tasks[[#This Row],[Due]]))</f>
        <v/>
      </c>
      <c r="O237" t="str" cm="1">
        <f t="array" aca="1" ref="O2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7" t="str" cm="1">
        <f t="array" ref="P2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7" t="str" cm="1">
        <f t="array" ref="Q2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7" t="str" cm="1">
        <f t="array" ref="R2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8" spans="1:18" x14ac:dyDescent="0.25">
      <c r="A238" s="14" t="str" cm="1">
        <f t="array" ref="A238">IF(Tasks[[#This Row],[Task]]="","","T-"&amp;TEXT(ROW()-ROW(Tasks[#Headers]),"000"))</f>
        <v/>
      </c>
      <c r="B238" s="15"/>
      <c r="C238" s="15"/>
      <c r="D238" s="15"/>
      <c r="E238" s="15"/>
      <c r="F238" s="16"/>
      <c r="G238" s="16"/>
      <c r="H238" s="16"/>
      <c r="I238" s="15"/>
      <c r="J238" s="15"/>
      <c r="K2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8" s="17" t="str">
        <f>IF(Tasks[[#This Row],[Task]]="","",IFERROR(VLOOKUP(IF(Tasks[[#This Row],[Effort]]="","M",Tasks[[#This Row],[Effort]]),EffortTable,2,FALSE),0))</f>
        <v/>
      </c>
      <c r="N238" t="str">
        <f>IF(Tasks[[#This Row],[Task]]="","",IFERROR(MATCH(Tasks[[#This Row],[Status]],{"Late","Blocked","Due soon"},0),9)*100000+N(Tasks[[#This Row],[Due]]))</f>
        <v/>
      </c>
      <c r="O238" t="str" cm="1">
        <f t="array" aca="1" ref="O2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8" t="str" cm="1">
        <f t="array" ref="P2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8" t="str" cm="1">
        <f t="array" ref="Q2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8" t="str" cm="1">
        <f t="array" ref="R2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39" spans="1:18" x14ac:dyDescent="0.25">
      <c r="A239" s="14" t="str" cm="1">
        <f t="array" ref="A239">IF(Tasks[[#This Row],[Task]]="","","T-"&amp;TEXT(ROW()-ROW(Tasks[#Headers]),"000"))</f>
        <v/>
      </c>
      <c r="B239" s="15"/>
      <c r="C239" s="15"/>
      <c r="D239" s="15"/>
      <c r="E239" s="15"/>
      <c r="F239" s="16"/>
      <c r="G239" s="16"/>
      <c r="H239" s="16"/>
      <c r="I239" s="15"/>
      <c r="J239" s="15"/>
      <c r="K2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39" s="17" t="str">
        <f>IF(Tasks[[#This Row],[Task]]="","",IFERROR(VLOOKUP(IF(Tasks[[#This Row],[Effort]]="","M",Tasks[[#This Row],[Effort]]),EffortTable,2,FALSE),0))</f>
        <v/>
      </c>
      <c r="N239" t="str">
        <f>IF(Tasks[[#This Row],[Task]]="","",IFERROR(MATCH(Tasks[[#This Row],[Status]],{"Late","Blocked","Due soon"},0),9)*100000+N(Tasks[[#This Row],[Due]]))</f>
        <v/>
      </c>
      <c r="O239" t="str" cm="1">
        <f t="array" aca="1" ref="O2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39" t="str" cm="1">
        <f t="array" ref="P2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39" t="str" cm="1">
        <f t="array" ref="Q2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39" t="str" cm="1">
        <f t="array" ref="R2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0" spans="1:18" x14ac:dyDescent="0.25">
      <c r="A240" s="14" t="str" cm="1">
        <f t="array" ref="A240">IF(Tasks[[#This Row],[Task]]="","","T-"&amp;TEXT(ROW()-ROW(Tasks[#Headers]),"000"))</f>
        <v/>
      </c>
      <c r="B240" s="15"/>
      <c r="C240" s="15"/>
      <c r="D240" s="15"/>
      <c r="E240" s="15"/>
      <c r="F240" s="16"/>
      <c r="G240" s="16"/>
      <c r="H240" s="16"/>
      <c r="I240" s="15"/>
      <c r="J240" s="15"/>
      <c r="K2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0" s="17" t="str">
        <f>IF(Tasks[[#This Row],[Task]]="","",IFERROR(VLOOKUP(IF(Tasks[[#This Row],[Effort]]="","M",Tasks[[#This Row],[Effort]]),EffortTable,2,FALSE),0))</f>
        <v/>
      </c>
      <c r="N240" t="str">
        <f>IF(Tasks[[#This Row],[Task]]="","",IFERROR(MATCH(Tasks[[#This Row],[Status]],{"Late","Blocked","Due soon"},0),9)*100000+N(Tasks[[#This Row],[Due]]))</f>
        <v/>
      </c>
      <c r="O240" t="str" cm="1">
        <f t="array" aca="1" ref="O2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0" t="str" cm="1">
        <f t="array" ref="P2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0" t="str" cm="1">
        <f t="array" ref="Q2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0" t="str" cm="1">
        <f t="array" ref="R2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1" spans="1:18" x14ac:dyDescent="0.25">
      <c r="A241" s="14" t="str" cm="1">
        <f t="array" ref="A241">IF(Tasks[[#This Row],[Task]]="","","T-"&amp;TEXT(ROW()-ROW(Tasks[#Headers]),"000"))</f>
        <v/>
      </c>
      <c r="B241" s="15"/>
      <c r="C241" s="15"/>
      <c r="D241" s="15"/>
      <c r="E241" s="15"/>
      <c r="F241" s="16"/>
      <c r="G241" s="16"/>
      <c r="H241" s="16"/>
      <c r="I241" s="15"/>
      <c r="J241" s="15"/>
      <c r="K2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1" s="17" t="str">
        <f>IF(Tasks[[#This Row],[Task]]="","",IFERROR(VLOOKUP(IF(Tasks[[#This Row],[Effort]]="","M",Tasks[[#This Row],[Effort]]),EffortTable,2,FALSE),0))</f>
        <v/>
      </c>
      <c r="N241" t="str">
        <f>IF(Tasks[[#This Row],[Task]]="","",IFERROR(MATCH(Tasks[[#This Row],[Status]],{"Late","Blocked","Due soon"},0),9)*100000+N(Tasks[[#This Row],[Due]]))</f>
        <v/>
      </c>
      <c r="O241" t="str" cm="1">
        <f t="array" aca="1" ref="O2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1" t="str" cm="1">
        <f t="array" ref="P2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1" t="str" cm="1">
        <f t="array" ref="Q2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1" t="str" cm="1">
        <f t="array" ref="R2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2" spans="1:18" x14ac:dyDescent="0.25">
      <c r="A242" s="14" t="str" cm="1">
        <f t="array" ref="A242">IF(Tasks[[#This Row],[Task]]="","","T-"&amp;TEXT(ROW()-ROW(Tasks[#Headers]),"000"))</f>
        <v/>
      </c>
      <c r="B242" s="15"/>
      <c r="C242" s="15"/>
      <c r="D242" s="15"/>
      <c r="E242" s="15"/>
      <c r="F242" s="16"/>
      <c r="G242" s="16"/>
      <c r="H242" s="16"/>
      <c r="I242" s="15"/>
      <c r="J242" s="15"/>
      <c r="K2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2" s="17" t="str">
        <f>IF(Tasks[[#This Row],[Task]]="","",IFERROR(VLOOKUP(IF(Tasks[[#This Row],[Effort]]="","M",Tasks[[#This Row],[Effort]]),EffortTable,2,FALSE),0))</f>
        <v/>
      </c>
      <c r="N242" t="str">
        <f>IF(Tasks[[#This Row],[Task]]="","",IFERROR(MATCH(Tasks[[#This Row],[Status]],{"Late","Blocked","Due soon"},0),9)*100000+N(Tasks[[#This Row],[Due]]))</f>
        <v/>
      </c>
      <c r="O242" t="str" cm="1">
        <f t="array" aca="1" ref="O2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2" t="str" cm="1">
        <f t="array" ref="P2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2" t="str" cm="1">
        <f t="array" ref="Q2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2" t="str" cm="1">
        <f t="array" ref="R2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3" spans="1:18" x14ac:dyDescent="0.25">
      <c r="A243" s="14" t="str" cm="1">
        <f t="array" ref="A243">IF(Tasks[[#This Row],[Task]]="","","T-"&amp;TEXT(ROW()-ROW(Tasks[#Headers]),"000"))</f>
        <v/>
      </c>
      <c r="B243" s="15"/>
      <c r="C243" s="15"/>
      <c r="D243" s="15"/>
      <c r="E243" s="15"/>
      <c r="F243" s="16"/>
      <c r="G243" s="16"/>
      <c r="H243" s="16"/>
      <c r="I243" s="15"/>
      <c r="J243" s="15"/>
      <c r="K2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3" s="17" t="str">
        <f>IF(Tasks[[#This Row],[Task]]="","",IFERROR(VLOOKUP(IF(Tasks[[#This Row],[Effort]]="","M",Tasks[[#This Row],[Effort]]),EffortTable,2,FALSE),0))</f>
        <v/>
      </c>
      <c r="N243" t="str">
        <f>IF(Tasks[[#This Row],[Task]]="","",IFERROR(MATCH(Tasks[[#This Row],[Status]],{"Late","Blocked","Due soon"},0),9)*100000+N(Tasks[[#This Row],[Due]]))</f>
        <v/>
      </c>
      <c r="O243" t="str" cm="1">
        <f t="array" aca="1" ref="O2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3" t="str" cm="1">
        <f t="array" ref="P2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3" t="str" cm="1">
        <f t="array" ref="Q2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3" t="str" cm="1">
        <f t="array" ref="R2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4" spans="1:18" x14ac:dyDescent="0.25">
      <c r="A244" s="14" t="str" cm="1">
        <f t="array" ref="A244">IF(Tasks[[#This Row],[Task]]="","","T-"&amp;TEXT(ROW()-ROW(Tasks[#Headers]),"000"))</f>
        <v/>
      </c>
      <c r="B244" s="15"/>
      <c r="C244" s="15"/>
      <c r="D244" s="15"/>
      <c r="E244" s="15"/>
      <c r="F244" s="16"/>
      <c r="G244" s="16"/>
      <c r="H244" s="16"/>
      <c r="I244" s="15"/>
      <c r="J244" s="15"/>
      <c r="K2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4" s="17" t="str">
        <f>IF(Tasks[[#This Row],[Task]]="","",IFERROR(VLOOKUP(IF(Tasks[[#This Row],[Effort]]="","M",Tasks[[#This Row],[Effort]]),EffortTable,2,FALSE),0))</f>
        <v/>
      </c>
      <c r="N244" t="str">
        <f>IF(Tasks[[#This Row],[Task]]="","",IFERROR(MATCH(Tasks[[#This Row],[Status]],{"Late","Blocked","Due soon"},0),9)*100000+N(Tasks[[#This Row],[Due]]))</f>
        <v/>
      </c>
      <c r="O244" t="str" cm="1">
        <f t="array" aca="1" ref="O2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4" t="str" cm="1">
        <f t="array" ref="P2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4" t="str" cm="1">
        <f t="array" ref="Q2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4" t="str" cm="1">
        <f t="array" ref="R2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5" spans="1:18" x14ac:dyDescent="0.25">
      <c r="A245" s="14" t="str" cm="1">
        <f t="array" ref="A245">IF(Tasks[[#This Row],[Task]]="","","T-"&amp;TEXT(ROW()-ROW(Tasks[#Headers]),"000"))</f>
        <v/>
      </c>
      <c r="B245" s="15"/>
      <c r="C245" s="15"/>
      <c r="D245" s="15"/>
      <c r="E245" s="15"/>
      <c r="F245" s="16"/>
      <c r="G245" s="16"/>
      <c r="H245" s="16"/>
      <c r="I245" s="15"/>
      <c r="J245" s="15"/>
      <c r="K2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5" s="17" t="str">
        <f>IF(Tasks[[#This Row],[Task]]="","",IFERROR(VLOOKUP(IF(Tasks[[#This Row],[Effort]]="","M",Tasks[[#This Row],[Effort]]),EffortTable,2,FALSE),0))</f>
        <v/>
      </c>
      <c r="N245" t="str">
        <f>IF(Tasks[[#This Row],[Task]]="","",IFERROR(MATCH(Tasks[[#This Row],[Status]],{"Late","Blocked","Due soon"},0),9)*100000+N(Tasks[[#This Row],[Due]]))</f>
        <v/>
      </c>
      <c r="O245" t="str" cm="1">
        <f t="array" aca="1" ref="O2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5" t="str" cm="1">
        <f t="array" ref="P2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5" t="str" cm="1">
        <f t="array" ref="Q2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5" t="str" cm="1">
        <f t="array" ref="R2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6" spans="1:18" x14ac:dyDescent="0.25">
      <c r="A246" s="14" t="str" cm="1">
        <f t="array" ref="A246">IF(Tasks[[#This Row],[Task]]="","","T-"&amp;TEXT(ROW()-ROW(Tasks[#Headers]),"000"))</f>
        <v/>
      </c>
      <c r="B246" s="15"/>
      <c r="C246" s="15"/>
      <c r="D246" s="15"/>
      <c r="E246" s="15"/>
      <c r="F246" s="16"/>
      <c r="G246" s="16"/>
      <c r="H246" s="16"/>
      <c r="I246" s="15"/>
      <c r="J246" s="15"/>
      <c r="K2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6" s="17" t="str">
        <f>IF(Tasks[[#This Row],[Task]]="","",IFERROR(VLOOKUP(IF(Tasks[[#This Row],[Effort]]="","M",Tasks[[#This Row],[Effort]]),EffortTable,2,FALSE),0))</f>
        <v/>
      </c>
      <c r="N246" t="str">
        <f>IF(Tasks[[#This Row],[Task]]="","",IFERROR(MATCH(Tasks[[#This Row],[Status]],{"Late","Blocked","Due soon"},0),9)*100000+N(Tasks[[#This Row],[Due]]))</f>
        <v/>
      </c>
      <c r="O246" t="str" cm="1">
        <f t="array" aca="1" ref="O2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6" t="str" cm="1">
        <f t="array" ref="P2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6" t="str" cm="1">
        <f t="array" ref="Q2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6" t="str" cm="1">
        <f t="array" ref="R2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7" spans="1:18" x14ac:dyDescent="0.25">
      <c r="A247" s="14" t="str" cm="1">
        <f t="array" ref="A247">IF(Tasks[[#This Row],[Task]]="","","T-"&amp;TEXT(ROW()-ROW(Tasks[#Headers]),"000"))</f>
        <v/>
      </c>
      <c r="B247" s="15"/>
      <c r="C247" s="15"/>
      <c r="D247" s="15"/>
      <c r="E247" s="15"/>
      <c r="F247" s="16"/>
      <c r="G247" s="16"/>
      <c r="H247" s="16"/>
      <c r="I247" s="15"/>
      <c r="J247" s="15"/>
      <c r="K2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7" s="17" t="str">
        <f>IF(Tasks[[#This Row],[Task]]="","",IFERROR(VLOOKUP(IF(Tasks[[#This Row],[Effort]]="","M",Tasks[[#This Row],[Effort]]),EffortTable,2,FALSE),0))</f>
        <v/>
      </c>
      <c r="N247" t="str">
        <f>IF(Tasks[[#This Row],[Task]]="","",IFERROR(MATCH(Tasks[[#This Row],[Status]],{"Late","Blocked","Due soon"},0),9)*100000+N(Tasks[[#This Row],[Due]]))</f>
        <v/>
      </c>
      <c r="O247" t="str" cm="1">
        <f t="array" aca="1" ref="O2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7" t="str" cm="1">
        <f t="array" ref="P2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7" t="str" cm="1">
        <f t="array" ref="Q2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7" t="str" cm="1">
        <f t="array" ref="R2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8" spans="1:18" x14ac:dyDescent="0.25">
      <c r="A248" s="14" t="str" cm="1">
        <f t="array" ref="A248">IF(Tasks[[#This Row],[Task]]="","","T-"&amp;TEXT(ROW()-ROW(Tasks[#Headers]),"000"))</f>
        <v/>
      </c>
      <c r="B248" s="15"/>
      <c r="C248" s="15"/>
      <c r="D248" s="15"/>
      <c r="E248" s="15"/>
      <c r="F248" s="16"/>
      <c r="G248" s="16"/>
      <c r="H248" s="16"/>
      <c r="I248" s="15"/>
      <c r="J248" s="15"/>
      <c r="K2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8" s="17" t="str">
        <f>IF(Tasks[[#This Row],[Task]]="","",IFERROR(VLOOKUP(IF(Tasks[[#This Row],[Effort]]="","M",Tasks[[#This Row],[Effort]]),EffortTable,2,FALSE),0))</f>
        <v/>
      </c>
      <c r="N248" t="str">
        <f>IF(Tasks[[#This Row],[Task]]="","",IFERROR(MATCH(Tasks[[#This Row],[Status]],{"Late","Blocked","Due soon"},0),9)*100000+N(Tasks[[#This Row],[Due]]))</f>
        <v/>
      </c>
      <c r="O248" t="str" cm="1">
        <f t="array" aca="1" ref="O2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8" t="str" cm="1">
        <f t="array" ref="P2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8" t="str" cm="1">
        <f t="array" ref="Q2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8" t="str" cm="1">
        <f t="array" ref="R2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49" spans="1:18" x14ac:dyDescent="0.25">
      <c r="A249" s="14" t="str" cm="1">
        <f t="array" ref="A249">IF(Tasks[[#This Row],[Task]]="","","T-"&amp;TEXT(ROW()-ROW(Tasks[#Headers]),"000"))</f>
        <v/>
      </c>
      <c r="B249" s="15"/>
      <c r="C249" s="15"/>
      <c r="D249" s="15"/>
      <c r="E249" s="15"/>
      <c r="F249" s="16"/>
      <c r="G249" s="16"/>
      <c r="H249" s="16"/>
      <c r="I249" s="15"/>
      <c r="J249" s="15"/>
      <c r="K2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49" s="17" t="str">
        <f>IF(Tasks[[#This Row],[Task]]="","",IFERROR(VLOOKUP(IF(Tasks[[#This Row],[Effort]]="","M",Tasks[[#This Row],[Effort]]),EffortTable,2,FALSE),0))</f>
        <v/>
      </c>
      <c r="N249" t="str">
        <f>IF(Tasks[[#This Row],[Task]]="","",IFERROR(MATCH(Tasks[[#This Row],[Status]],{"Late","Blocked","Due soon"},0),9)*100000+N(Tasks[[#This Row],[Due]]))</f>
        <v/>
      </c>
      <c r="O249" t="str" cm="1">
        <f t="array" aca="1" ref="O2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49" t="str" cm="1">
        <f t="array" ref="P2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49" t="str" cm="1">
        <f t="array" ref="Q2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49" t="str" cm="1">
        <f t="array" ref="R2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0" spans="1:18" x14ac:dyDescent="0.25">
      <c r="A250" s="14" t="str" cm="1">
        <f t="array" ref="A250">IF(Tasks[[#This Row],[Task]]="","","T-"&amp;TEXT(ROW()-ROW(Tasks[#Headers]),"000"))</f>
        <v/>
      </c>
      <c r="B250" s="15"/>
      <c r="C250" s="15"/>
      <c r="D250" s="15"/>
      <c r="E250" s="15"/>
      <c r="F250" s="16"/>
      <c r="G250" s="16"/>
      <c r="H250" s="16"/>
      <c r="I250" s="15"/>
      <c r="J250" s="15"/>
      <c r="K2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0" s="17" t="str">
        <f>IF(Tasks[[#This Row],[Task]]="","",IFERROR(VLOOKUP(IF(Tasks[[#This Row],[Effort]]="","M",Tasks[[#This Row],[Effort]]),EffortTable,2,FALSE),0))</f>
        <v/>
      </c>
      <c r="N250" t="str">
        <f>IF(Tasks[[#This Row],[Task]]="","",IFERROR(MATCH(Tasks[[#This Row],[Status]],{"Late","Blocked","Due soon"},0),9)*100000+N(Tasks[[#This Row],[Due]]))</f>
        <v/>
      </c>
      <c r="O250" t="str" cm="1">
        <f t="array" aca="1" ref="O2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0" t="str" cm="1">
        <f t="array" ref="P2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0" t="str" cm="1">
        <f t="array" ref="Q2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0" t="str" cm="1">
        <f t="array" ref="R2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1" spans="1:18" x14ac:dyDescent="0.25">
      <c r="A251" s="14" t="str" cm="1">
        <f t="array" ref="A251">IF(Tasks[[#This Row],[Task]]="","","T-"&amp;TEXT(ROW()-ROW(Tasks[#Headers]),"000"))</f>
        <v/>
      </c>
      <c r="B251" s="15"/>
      <c r="C251" s="15"/>
      <c r="D251" s="15"/>
      <c r="E251" s="15"/>
      <c r="F251" s="16"/>
      <c r="G251" s="16"/>
      <c r="H251" s="16"/>
      <c r="I251" s="15"/>
      <c r="J251" s="15"/>
      <c r="K2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1" s="17" t="str">
        <f>IF(Tasks[[#This Row],[Task]]="","",IFERROR(VLOOKUP(IF(Tasks[[#This Row],[Effort]]="","M",Tasks[[#This Row],[Effort]]),EffortTable,2,FALSE),0))</f>
        <v/>
      </c>
      <c r="N251" t="str">
        <f>IF(Tasks[[#This Row],[Task]]="","",IFERROR(MATCH(Tasks[[#This Row],[Status]],{"Late","Blocked","Due soon"},0),9)*100000+N(Tasks[[#This Row],[Due]]))</f>
        <v/>
      </c>
      <c r="O251" t="str" cm="1">
        <f t="array" aca="1" ref="O2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1" t="str" cm="1">
        <f t="array" ref="P2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1" t="str" cm="1">
        <f t="array" ref="Q2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1" t="str" cm="1">
        <f t="array" ref="R2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2" spans="1:18" x14ac:dyDescent="0.25">
      <c r="A252" s="14" t="str" cm="1">
        <f t="array" ref="A252">IF(Tasks[[#This Row],[Task]]="","","T-"&amp;TEXT(ROW()-ROW(Tasks[#Headers]),"000"))</f>
        <v/>
      </c>
      <c r="B252" s="15"/>
      <c r="C252" s="15"/>
      <c r="D252" s="15"/>
      <c r="E252" s="15"/>
      <c r="F252" s="16"/>
      <c r="G252" s="16"/>
      <c r="H252" s="16"/>
      <c r="I252" s="15"/>
      <c r="J252" s="15"/>
      <c r="K2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2" s="17" t="str">
        <f>IF(Tasks[[#This Row],[Task]]="","",IFERROR(VLOOKUP(IF(Tasks[[#This Row],[Effort]]="","M",Tasks[[#This Row],[Effort]]),EffortTable,2,FALSE),0))</f>
        <v/>
      </c>
      <c r="N252" t="str">
        <f>IF(Tasks[[#This Row],[Task]]="","",IFERROR(MATCH(Tasks[[#This Row],[Status]],{"Late","Blocked","Due soon"},0),9)*100000+N(Tasks[[#This Row],[Due]]))</f>
        <v/>
      </c>
      <c r="O252" t="str" cm="1">
        <f t="array" aca="1" ref="O2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2" t="str" cm="1">
        <f t="array" ref="P2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2" t="str" cm="1">
        <f t="array" ref="Q2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2" t="str" cm="1">
        <f t="array" ref="R2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3" spans="1:18" x14ac:dyDescent="0.25">
      <c r="A253" s="14" t="str" cm="1">
        <f t="array" ref="A253">IF(Tasks[[#This Row],[Task]]="","","T-"&amp;TEXT(ROW()-ROW(Tasks[#Headers]),"000"))</f>
        <v/>
      </c>
      <c r="B253" s="15"/>
      <c r="C253" s="15"/>
      <c r="D253" s="15"/>
      <c r="E253" s="15"/>
      <c r="F253" s="16"/>
      <c r="G253" s="16"/>
      <c r="H253" s="16"/>
      <c r="I253" s="15"/>
      <c r="J253" s="15"/>
      <c r="K2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3" s="17" t="str">
        <f>IF(Tasks[[#This Row],[Task]]="","",IFERROR(VLOOKUP(IF(Tasks[[#This Row],[Effort]]="","M",Tasks[[#This Row],[Effort]]),EffortTable,2,FALSE),0))</f>
        <v/>
      </c>
      <c r="N253" t="str">
        <f>IF(Tasks[[#This Row],[Task]]="","",IFERROR(MATCH(Tasks[[#This Row],[Status]],{"Late","Blocked","Due soon"},0),9)*100000+N(Tasks[[#This Row],[Due]]))</f>
        <v/>
      </c>
      <c r="O253" t="str" cm="1">
        <f t="array" aca="1" ref="O2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3" t="str" cm="1">
        <f t="array" ref="P2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3" t="str" cm="1">
        <f t="array" ref="Q2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3" t="str" cm="1">
        <f t="array" ref="R2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4" spans="1:18" x14ac:dyDescent="0.25">
      <c r="A254" s="14" t="str" cm="1">
        <f t="array" ref="A254">IF(Tasks[[#This Row],[Task]]="","","T-"&amp;TEXT(ROW()-ROW(Tasks[#Headers]),"000"))</f>
        <v/>
      </c>
      <c r="B254" s="15"/>
      <c r="C254" s="15"/>
      <c r="D254" s="15"/>
      <c r="E254" s="15"/>
      <c r="F254" s="16"/>
      <c r="G254" s="16"/>
      <c r="H254" s="16"/>
      <c r="I254" s="15"/>
      <c r="J254" s="15"/>
      <c r="K2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4" s="17" t="str">
        <f>IF(Tasks[[#This Row],[Task]]="","",IFERROR(VLOOKUP(IF(Tasks[[#This Row],[Effort]]="","M",Tasks[[#This Row],[Effort]]),EffortTable,2,FALSE),0))</f>
        <v/>
      </c>
      <c r="N254" t="str">
        <f>IF(Tasks[[#This Row],[Task]]="","",IFERROR(MATCH(Tasks[[#This Row],[Status]],{"Late","Blocked","Due soon"},0),9)*100000+N(Tasks[[#This Row],[Due]]))</f>
        <v/>
      </c>
      <c r="O254" t="str" cm="1">
        <f t="array" aca="1" ref="O2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4" t="str" cm="1">
        <f t="array" ref="P2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4" t="str" cm="1">
        <f t="array" ref="Q2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4" t="str" cm="1">
        <f t="array" ref="R2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5" spans="1:18" x14ac:dyDescent="0.25">
      <c r="A255" s="14" t="str" cm="1">
        <f t="array" ref="A255">IF(Tasks[[#This Row],[Task]]="","","T-"&amp;TEXT(ROW()-ROW(Tasks[#Headers]),"000"))</f>
        <v/>
      </c>
      <c r="B255" s="15"/>
      <c r="C255" s="15"/>
      <c r="D255" s="15"/>
      <c r="E255" s="15"/>
      <c r="F255" s="16"/>
      <c r="G255" s="16"/>
      <c r="H255" s="16"/>
      <c r="I255" s="15"/>
      <c r="J255" s="15"/>
      <c r="K2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5" s="17" t="str">
        <f>IF(Tasks[[#This Row],[Task]]="","",IFERROR(VLOOKUP(IF(Tasks[[#This Row],[Effort]]="","M",Tasks[[#This Row],[Effort]]),EffortTable,2,FALSE),0))</f>
        <v/>
      </c>
      <c r="N255" t="str">
        <f>IF(Tasks[[#This Row],[Task]]="","",IFERROR(MATCH(Tasks[[#This Row],[Status]],{"Late","Blocked","Due soon"},0),9)*100000+N(Tasks[[#This Row],[Due]]))</f>
        <v/>
      </c>
      <c r="O255" t="str" cm="1">
        <f t="array" aca="1" ref="O2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5" t="str" cm="1">
        <f t="array" ref="P2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5" t="str" cm="1">
        <f t="array" ref="Q2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5" t="str" cm="1">
        <f t="array" ref="R2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6" spans="1:18" x14ac:dyDescent="0.25">
      <c r="A256" s="14" t="str" cm="1">
        <f t="array" ref="A256">IF(Tasks[[#This Row],[Task]]="","","T-"&amp;TEXT(ROW()-ROW(Tasks[#Headers]),"000"))</f>
        <v/>
      </c>
      <c r="B256" s="15"/>
      <c r="C256" s="15"/>
      <c r="D256" s="15"/>
      <c r="E256" s="15"/>
      <c r="F256" s="16"/>
      <c r="G256" s="16"/>
      <c r="H256" s="16"/>
      <c r="I256" s="15"/>
      <c r="J256" s="15"/>
      <c r="K2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6" s="17" t="str">
        <f>IF(Tasks[[#This Row],[Task]]="","",IFERROR(VLOOKUP(IF(Tasks[[#This Row],[Effort]]="","M",Tasks[[#This Row],[Effort]]),EffortTable,2,FALSE),0))</f>
        <v/>
      </c>
      <c r="N256" t="str">
        <f>IF(Tasks[[#This Row],[Task]]="","",IFERROR(MATCH(Tasks[[#This Row],[Status]],{"Late","Blocked","Due soon"},0),9)*100000+N(Tasks[[#This Row],[Due]]))</f>
        <v/>
      </c>
      <c r="O256" t="str" cm="1">
        <f t="array" aca="1" ref="O2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6" t="str" cm="1">
        <f t="array" ref="P2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6" t="str" cm="1">
        <f t="array" ref="Q2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6" t="str" cm="1">
        <f t="array" ref="R2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7" spans="1:18" x14ac:dyDescent="0.25">
      <c r="A257" s="14" t="str" cm="1">
        <f t="array" ref="A257">IF(Tasks[[#This Row],[Task]]="","","T-"&amp;TEXT(ROW()-ROW(Tasks[#Headers]),"000"))</f>
        <v/>
      </c>
      <c r="B257" s="15"/>
      <c r="C257" s="15"/>
      <c r="D257" s="15"/>
      <c r="E257" s="15"/>
      <c r="F257" s="16"/>
      <c r="G257" s="16"/>
      <c r="H257" s="16"/>
      <c r="I257" s="15"/>
      <c r="J257" s="15"/>
      <c r="K2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7" s="17" t="str">
        <f>IF(Tasks[[#This Row],[Task]]="","",IFERROR(VLOOKUP(IF(Tasks[[#This Row],[Effort]]="","M",Tasks[[#This Row],[Effort]]),EffortTable,2,FALSE),0))</f>
        <v/>
      </c>
      <c r="N257" t="str">
        <f>IF(Tasks[[#This Row],[Task]]="","",IFERROR(MATCH(Tasks[[#This Row],[Status]],{"Late","Blocked","Due soon"},0),9)*100000+N(Tasks[[#This Row],[Due]]))</f>
        <v/>
      </c>
      <c r="O257" t="str" cm="1">
        <f t="array" aca="1" ref="O2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7" t="str" cm="1">
        <f t="array" ref="P2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7" t="str" cm="1">
        <f t="array" ref="Q2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7" t="str" cm="1">
        <f t="array" ref="R2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8" spans="1:18" x14ac:dyDescent="0.25">
      <c r="A258" s="14" t="str" cm="1">
        <f t="array" ref="A258">IF(Tasks[[#This Row],[Task]]="","","T-"&amp;TEXT(ROW()-ROW(Tasks[#Headers]),"000"))</f>
        <v/>
      </c>
      <c r="B258" s="15"/>
      <c r="C258" s="15"/>
      <c r="D258" s="15"/>
      <c r="E258" s="15"/>
      <c r="F258" s="16"/>
      <c r="G258" s="16"/>
      <c r="H258" s="16"/>
      <c r="I258" s="15"/>
      <c r="J258" s="15"/>
      <c r="K2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8" s="17" t="str">
        <f>IF(Tasks[[#This Row],[Task]]="","",IFERROR(VLOOKUP(IF(Tasks[[#This Row],[Effort]]="","M",Tasks[[#This Row],[Effort]]),EffortTable,2,FALSE),0))</f>
        <v/>
      </c>
      <c r="N258" t="str">
        <f>IF(Tasks[[#This Row],[Task]]="","",IFERROR(MATCH(Tasks[[#This Row],[Status]],{"Late","Blocked","Due soon"},0),9)*100000+N(Tasks[[#This Row],[Due]]))</f>
        <v/>
      </c>
      <c r="O258" t="str" cm="1">
        <f t="array" aca="1" ref="O2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8" t="str" cm="1">
        <f t="array" ref="P2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8" t="str" cm="1">
        <f t="array" ref="Q2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8" t="str" cm="1">
        <f t="array" ref="R2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59" spans="1:18" x14ac:dyDescent="0.25">
      <c r="A259" s="14" t="str" cm="1">
        <f t="array" ref="A259">IF(Tasks[[#This Row],[Task]]="","","T-"&amp;TEXT(ROW()-ROW(Tasks[#Headers]),"000"))</f>
        <v/>
      </c>
      <c r="B259" s="15"/>
      <c r="C259" s="15"/>
      <c r="D259" s="15"/>
      <c r="E259" s="15"/>
      <c r="F259" s="16"/>
      <c r="G259" s="16"/>
      <c r="H259" s="16"/>
      <c r="I259" s="15"/>
      <c r="J259" s="15"/>
      <c r="K2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59" s="17" t="str">
        <f>IF(Tasks[[#This Row],[Task]]="","",IFERROR(VLOOKUP(IF(Tasks[[#This Row],[Effort]]="","M",Tasks[[#This Row],[Effort]]),EffortTable,2,FALSE),0))</f>
        <v/>
      </c>
      <c r="N259" t="str">
        <f>IF(Tasks[[#This Row],[Task]]="","",IFERROR(MATCH(Tasks[[#This Row],[Status]],{"Late","Blocked","Due soon"},0),9)*100000+N(Tasks[[#This Row],[Due]]))</f>
        <v/>
      </c>
      <c r="O259" t="str" cm="1">
        <f t="array" aca="1" ref="O2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59" t="str" cm="1">
        <f t="array" ref="P2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59" t="str" cm="1">
        <f t="array" ref="Q2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59" t="str" cm="1">
        <f t="array" ref="R2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0" spans="1:18" x14ac:dyDescent="0.25">
      <c r="A260" s="14" t="str" cm="1">
        <f t="array" ref="A260">IF(Tasks[[#This Row],[Task]]="","","T-"&amp;TEXT(ROW()-ROW(Tasks[#Headers]),"000"))</f>
        <v/>
      </c>
      <c r="B260" s="15"/>
      <c r="C260" s="15"/>
      <c r="D260" s="15"/>
      <c r="E260" s="15"/>
      <c r="F260" s="16"/>
      <c r="G260" s="16"/>
      <c r="H260" s="16"/>
      <c r="I260" s="15"/>
      <c r="J260" s="15"/>
      <c r="K2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0" s="17" t="str">
        <f>IF(Tasks[[#This Row],[Task]]="","",IFERROR(VLOOKUP(IF(Tasks[[#This Row],[Effort]]="","M",Tasks[[#This Row],[Effort]]),EffortTable,2,FALSE),0))</f>
        <v/>
      </c>
      <c r="N260" t="str">
        <f>IF(Tasks[[#This Row],[Task]]="","",IFERROR(MATCH(Tasks[[#This Row],[Status]],{"Late","Blocked","Due soon"},0),9)*100000+N(Tasks[[#This Row],[Due]]))</f>
        <v/>
      </c>
      <c r="O260" t="str" cm="1">
        <f t="array" aca="1" ref="O2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0" t="str" cm="1">
        <f t="array" ref="P2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0" t="str" cm="1">
        <f t="array" ref="Q2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0" t="str" cm="1">
        <f t="array" ref="R2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1" spans="1:18" x14ac:dyDescent="0.25">
      <c r="A261" s="14" t="str" cm="1">
        <f t="array" ref="A261">IF(Tasks[[#This Row],[Task]]="","","T-"&amp;TEXT(ROW()-ROW(Tasks[#Headers]),"000"))</f>
        <v/>
      </c>
      <c r="B261" s="15"/>
      <c r="C261" s="15"/>
      <c r="D261" s="15"/>
      <c r="E261" s="15"/>
      <c r="F261" s="16"/>
      <c r="G261" s="16"/>
      <c r="H261" s="16"/>
      <c r="I261" s="15"/>
      <c r="J261" s="15"/>
      <c r="K2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1" s="17" t="str">
        <f>IF(Tasks[[#This Row],[Task]]="","",IFERROR(VLOOKUP(IF(Tasks[[#This Row],[Effort]]="","M",Tasks[[#This Row],[Effort]]),EffortTable,2,FALSE),0))</f>
        <v/>
      </c>
      <c r="N261" t="str">
        <f>IF(Tasks[[#This Row],[Task]]="","",IFERROR(MATCH(Tasks[[#This Row],[Status]],{"Late","Blocked","Due soon"},0),9)*100000+N(Tasks[[#This Row],[Due]]))</f>
        <v/>
      </c>
      <c r="O261" t="str" cm="1">
        <f t="array" aca="1" ref="O2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1" t="str" cm="1">
        <f t="array" ref="P2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1" t="str" cm="1">
        <f t="array" ref="Q2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1" t="str" cm="1">
        <f t="array" ref="R2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2" spans="1:18" x14ac:dyDescent="0.25">
      <c r="A262" s="14" t="str" cm="1">
        <f t="array" ref="A262">IF(Tasks[[#This Row],[Task]]="","","T-"&amp;TEXT(ROW()-ROW(Tasks[#Headers]),"000"))</f>
        <v/>
      </c>
      <c r="B262" s="15"/>
      <c r="C262" s="15"/>
      <c r="D262" s="15"/>
      <c r="E262" s="15"/>
      <c r="F262" s="16"/>
      <c r="G262" s="16"/>
      <c r="H262" s="16"/>
      <c r="I262" s="15"/>
      <c r="J262" s="15"/>
      <c r="K2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2" s="17" t="str">
        <f>IF(Tasks[[#This Row],[Task]]="","",IFERROR(VLOOKUP(IF(Tasks[[#This Row],[Effort]]="","M",Tasks[[#This Row],[Effort]]),EffortTable,2,FALSE),0))</f>
        <v/>
      </c>
      <c r="N262" t="str">
        <f>IF(Tasks[[#This Row],[Task]]="","",IFERROR(MATCH(Tasks[[#This Row],[Status]],{"Late","Blocked","Due soon"},0),9)*100000+N(Tasks[[#This Row],[Due]]))</f>
        <v/>
      </c>
      <c r="O262" t="str" cm="1">
        <f t="array" aca="1" ref="O2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2" t="str" cm="1">
        <f t="array" ref="P2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2" t="str" cm="1">
        <f t="array" ref="Q2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2" t="str" cm="1">
        <f t="array" ref="R2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3" spans="1:18" x14ac:dyDescent="0.25">
      <c r="A263" s="14" t="str" cm="1">
        <f t="array" ref="A263">IF(Tasks[[#This Row],[Task]]="","","T-"&amp;TEXT(ROW()-ROW(Tasks[#Headers]),"000"))</f>
        <v/>
      </c>
      <c r="B263" s="15"/>
      <c r="C263" s="15"/>
      <c r="D263" s="15"/>
      <c r="E263" s="15"/>
      <c r="F263" s="16"/>
      <c r="G263" s="16"/>
      <c r="H263" s="16"/>
      <c r="I263" s="15"/>
      <c r="J263" s="15"/>
      <c r="K2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3" s="17" t="str">
        <f>IF(Tasks[[#This Row],[Task]]="","",IFERROR(VLOOKUP(IF(Tasks[[#This Row],[Effort]]="","M",Tasks[[#This Row],[Effort]]),EffortTable,2,FALSE),0))</f>
        <v/>
      </c>
      <c r="N263" t="str">
        <f>IF(Tasks[[#This Row],[Task]]="","",IFERROR(MATCH(Tasks[[#This Row],[Status]],{"Late","Blocked","Due soon"},0),9)*100000+N(Tasks[[#This Row],[Due]]))</f>
        <v/>
      </c>
      <c r="O263" t="str" cm="1">
        <f t="array" aca="1" ref="O2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3" t="str" cm="1">
        <f t="array" ref="P2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3" t="str" cm="1">
        <f t="array" ref="Q2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3" t="str" cm="1">
        <f t="array" ref="R2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4" spans="1:18" x14ac:dyDescent="0.25">
      <c r="A264" s="14" t="str" cm="1">
        <f t="array" ref="A264">IF(Tasks[[#This Row],[Task]]="","","T-"&amp;TEXT(ROW()-ROW(Tasks[#Headers]),"000"))</f>
        <v/>
      </c>
      <c r="B264" s="15"/>
      <c r="C264" s="15"/>
      <c r="D264" s="15"/>
      <c r="E264" s="15"/>
      <c r="F264" s="16"/>
      <c r="G264" s="16"/>
      <c r="H264" s="16"/>
      <c r="I264" s="15"/>
      <c r="J264" s="15"/>
      <c r="K2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4" s="17" t="str">
        <f>IF(Tasks[[#This Row],[Task]]="","",IFERROR(VLOOKUP(IF(Tasks[[#This Row],[Effort]]="","M",Tasks[[#This Row],[Effort]]),EffortTable,2,FALSE),0))</f>
        <v/>
      </c>
      <c r="N264" t="str">
        <f>IF(Tasks[[#This Row],[Task]]="","",IFERROR(MATCH(Tasks[[#This Row],[Status]],{"Late","Blocked","Due soon"},0),9)*100000+N(Tasks[[#This Row],[Due]]))</f>
        <v/>
      </c>
      <c r="O264" t="str" cm="1">
        <f t="array" aca="1" ref="O2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4" t="str" cm="1">
        <f t="array" ref="P2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4" t="str" cm="1">
        <f t="array" ref="Q2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4" t="str" cm="1">
        <f t="array" ref="R2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5" spans="1:18" x14ac:dyDescent="0.25">
      <c r="A265" s="14" t="str" cm="1">
        <f t="array" ref="A265">IF(Tasks[[#This Row],[Task]]="","","T-"&amp;TEXT(ROW()-ROW(Tasks[#Headers]),"000"))</f>
        <v/>
      </c>
      <c r="B265" s="15"/>
      <c r="C265" s="15"/>
      <c r="D265" s="15"/>
      <c r="E265" s="15"/>
      <c r="F265" s="16"/>
      <c r="G265" s="16"/>
      <c r="H265" s="16"/>
      <c r="I265" s="15"/>
      <c r="J265" s="15"/>
      <c r="K2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5" s="17" t="str">
        <f>IF(Tasks[[#This Row],[Task]]="","",IFERROR(VLOOKUP(IF(Tasks[[#This Row],[Effort]]="","M",Tasks[[#This Row],[Effort]]),EffortTable,2,FALSE),0))</f>
        <v/>
      </c>
      <c r="N265" t="str">
        <f>IF(Tasks[[#This Row],[Task]]="","",IFERROR(MATCH(Tasks[[#This Row],[Status]],{"Late","Blocked","Due soon"},0),9)*100000+N(Tasks[[#This Row],[Due]]))</f>
        <v/>
      </c>
      <c r="O265" t="str" cm="1">
        <f t="array" aca="1" ref="O2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5" t="str" cm="1">
        <f t="array" ref="P2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5" t="str" cm="1">
        <f t="array" ref="Q2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5" t="str" cm="1">
        <f t="array" ref="R2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6" spans="1:18" x14ac:dyDescent="0.25">
      <c r="A266" s="14" t="str" cm="1">
        <f t="array" ref="A266">IF(Tasks[[#This Row],[Task]]="","","T-"&amp;TEXT(ROW()-ROW(Tasks[#Headers]),"000"))</f>
        <v/>
      </c>
      <c r="B266" s="15"/>
      <c r="C266" s="15"/>
      <c r="D266" s="15"/>
      <c r="E266" s="15"/>
      <c r="F266" s="16"/>
      <c r="G266" s="16"/>
      <c r="H266" s="16"/>
      <c r="I266" s="15"/>
      <c r="J266" s="15"/>
      <c r="K2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6" s="17" t="str">
        <f>IF(Tasks[[#This Row],[Task]]="","",IFERROR(VLOOKUP(IF(Tasks[[#This Row],[Effort]]="","M",Tasks[[#This Row],[Effort]]),EffortTable,2,FALSE),0))</f>
        <v/>
      </c>
      <c r="N266" t="str">
        <f>IF(Tasks[[#This Row],[Task]]="","",IFERROR(MATCH(Tasks[[#This Row],[Status]],{"Late","Blocked","Due soon"},0),9)*100000+N(Tasks[[#This Row],[Due]]))</f>
        <v/>
      </c>
      <c r="O266" t="str" cm="1">
        <f t="array" aca="1" ref="O2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6" t="str" cm="1">
        <f t="array" ref="P2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6" t="str" cm="1">
        <f t="array" ref="Q2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6" t="str" cm="1">
        <f t="array" ref="R2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7" spans="1:18" x14ac:dyDescent="0.25">
      <c r="A267" s="14" t="str" cm="1">
        <f t="array" ref="A267">IF(Tasks[[#This Row],[Task]]="","","T-"&amp;TEXT(ROW()-ROW(Tasks[#Headers]),"000"))</f>
        <v/>
      </c>
      <c r="B267" s="15"/>
      <c r="C267" s="15"/>
      <c r="D267" s="15"/>
      <c r="E267" s="15"/>
      <c r="F267" s="16"/>
      <c r="G267" s="16"/>
      <c r="H267" s="16"/>
      <c r="I267" s="15"/>
      <c r="J267" s="15"/>
      <c r="K2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7" s="17" t="str">
        <f>IF(Tasks[[#This Row],[Task]]="","",IFERROR(VLOOKUP(IF(Tasks[[#This Row],[Effort]]="","M",Tasks[[#This Row],[Effort]]),EffortTable,2,FALSE),0))</f>
        <v/>
      </c>
      <c r="N267" t="str">
        <f>IF(Tasks[[#This Row],[Task]]="","",IFERROR(MATCH(Tasks[[#This Row],[Status]],{"Late","Blocked","Due soon"},0),9)*100000+N(Tasks[[#This Row],[Due]]))</f>
        <v/>
      </c>
      <c r="O267" t="str" cm="1">
        <f t="array" aca="1" ref="O2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7" t="str" cm="1">
        <f t="array" ref="P2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7" t="str" cm="1">
        <f t="array" ref="Q2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7" t="str" cm="1">
        <f t="array" ref="R2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8" spans="1:18" x14ac:dyDescent="0.25">
      <c r="A268" s="14" t="str" cm="1">
        <f t="array" ref="A268">IF(Tasks[[#This Row],[Task]]="","","T-"&amp;TEXT(ROW()-ROW(Tasks[#Headers]),"000"))</f>
        <v/>
      </c>
      <c r="B268" s="15"/>
      <c r="C268" s="15"/>
      <c r="D268" s="15"/>
      <c r="E268" s="15"/>
      <c r="F268" s="16"/>
      <c r="G268" s="16"/>
      <c r="H268" s="16"/>
      <c r="I268" s="15"/>
      <c r="J268" s="15"/>
      <c r="K2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8" s="17" t="str">
        <f>IF(Tasks[[#This Row],[Task]]="","",IFERROR(VLOOKUP(IF(Tasks[[#This Row],[Effort]]="","M",Tasks[[#This Row],[Effort]]),EffortTable,2,FALSE),0))</f>
        <v/>
      </c>
      <c r="N268" t="str">
        <f>IF(Tasks[[#This Row],[Task]]="","",IFERROR(MATCH(Tasks[[#This Row],[Status]],{"Late","Blocked","Due soon"},0),9)*100000+N(Tasks[[#This Row],[Due]]))</f>
        <v/>
      </c>
      <c r="O268" t="str" cm="1">
        <f t="array" aca="1" ref="O2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8" t="str" cm="1">
        <f t="array" ref="P2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8" t="str" cm="1">
        <f t="array" ref="Q2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8" t="str" cm="1">
        <f t="array" ref="R2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69" spans="1:18" x14ac:dyDescent="0.25">
      <c r="A269" s="14" t="str" cm="1">
        <f t="array" ref="A269">IF(Tasks[[#This Row],[Task]]="","","T-"&amp;TEXT(ROW()-ROW(Tasks[#Headers]),"000"))</f>
        <v/>
      </c>
      <c r="B269" s="15"/>
      <c r="C269" s="15"/>
      <c r="D269" s="15"/>
      <c r="E269" s="15"/>
      <c r="F269" s="16"/>
      <c r="G269" s="16"/>
      <c r="H269" s="16"/>
      <c r="I269" s="15"/>
      <c r="J269" s="15"/>
      <c r="K2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69" s="17" t="str">
        <f>IF(Tasks[[#This Row],[Task]]="","",IFERROR(VLOOKUP(IF(Tasks[[#This Row],[Effort]]="","M",Tasks[[#This Row],[Effort]]),EffortTable,2,FALSE),0))</f>
        <v/>
      </c>
      <c r="N269" t="str">
        <f>IF(Tasks[[#This Row],[Task]]="","",IFERROR(MATCH(Tasks[[#This Row],[Status]],{"Late","Blocked","Due soon"},0),9)*100000+N(Tasks[[#This Row],[Due]]))</f>
        <v/>
      </c>
      <c r="O269" t="str" cm="1">
        <f t="array" aca="1" ref="O2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69" t="str" cm="1">
        <f t="array" ref="P2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69" t="str" cm="1">
        <f t="array" ref="Q2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69" t="str" cm="1">
        <f t="array" ref="R2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0" spans="1:18" x14ac:dyDescent="0.25">
      <c r="A270" s="14" t="str" cm="1">
        <f t="array" ref="A270">IF(Tasks[[#This Row],[Task]]="","","T-"&amp;TEXT(ROW()-ROW(Tasks[#Headers]),"000"))</f>
        <v/>
      </c>
      <c r="B270" s="15"/>
      <c r="C270" s="15"/>
      <c r="D270" s="15"/>
      <c r="E270" s="15"/>
      <c r="F270" s="16"/>
      <c r="G270" s="16"/>
      <c r="H270" s="16"/>
      <c r="I270" s="15"/>
      <c r="J270" s="15"/>
      <c r="K2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0" s="17" t="str">
        <f>IF(Tasks[[#This Row],[Task]]="","",IFERROR(VLOOKUP(IF(Tasks[[#This Row],[Effort]]="","M",Tasks[[#This Row],[Effort]]),EffortTable,2,FALSE),0))</f>
        <v/>
      </c>
      <c r="N270" t="str">
        <f>IF(Tasks[[#This Row],[Task]]="","",IFERROR(MATCH(Tasks[[#This Row],[Status]],{"Late","Blocked","Due soon"},0),9)*100000+N(Tasks[[#This Row],[Due]]))</f>
        <v/>
      </c>
      <c r="O270" t="str" cm="1">
        <f t="array" aca="1" ref="O2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0" t="str" cm="1">
        <f t="array" ref="P2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0" t="str" cm="1">
        <f t="array" ref="Q2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0" t="str" cm="1">
        <f t="array" ref="R2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1" spans="1:18" x14ac:dyDescent="0.25">
      <c r="A271" s="14" t="str" cm="1">
        <f t="array" ref="A271">IF(Tasks[[#This Row],[Task]]="","","T-"&amp;TEXT(ROW()-ROW(Tasks[#Headers]),"000"))</f>
        <v/>
      </c>
      <c r="B271" s="15"/>
      <c r="C271" s="15"/>
      <c r="D271" s="15"/>
      <c r="E271" s="15"/>
      <c r="F271" s="16"/>
      <c r="G271" s="16"/>
      <c r="H271" s="16"/>
      <c r="I271" s="15"/>
      <c r="J271" s="15"/>
      <c r="K2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1" s="17" t="str">
        <f>IF(Tasks[[#This Row],[Task]]="","",IFERROR(VLOOKUP(IF(Tasks[[#This Row],[Effort]]="","M",Tasks[[#This Row],[Effort]]),EffortTable,2,FALSE),0))</f>
        <v/>
      </c>
      <c r="N271" t="str">
        <f>IF(Tasks[[#This Row],[Task]]="","",IFERROR(MATCH(Tasks[[#This Row],[Status]],{"Late","Blocked","Due soon"},0),9)*100000+N(Tasks[[#This Row],[Due]]))</f>
        <v/>
      </c>
      <c r="O271" t="str" cm="1">
        <f t="array" aca="1" ref="O2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1" t="str" cm="1">
        <f t="array" ref="P2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1" t="str" cm="1">
        <f t="array" ref="Q2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1" t="str" cm="1">
        <f t="array" ref="R2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2" spans="1:18" x14ac:dyDescent="0.25">
      <c r="A272" s="14" t="str" cm="1">
        <f t="array" ref="A272">IF(Tasks[[#This Row],[Task]]="","","T-"&amp;TEXT(ROW()-ROW(Tasks[#Headers]),"000"))</f>
        <v/>
      </c>
      <c r="B272" s="15"/>
      <c r="C272" s="15"/>
      <c r="D272" s="15"/>
      <c r="E272" s="15"/>
      <c r="F272" s="16"/>
      <c r="G272" s="16"/>
      <c r="H272" s="16"/>
      <c r="I272" s="15"/>
      <c r="J272" s="15"/>
      <c r="K2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2" s="17" t="str">
        <f>IF(Tasks[[#This Row],[Task]]="","",IFERROR(VLOOKUP(IF(Tasks[[#This Row],[Effort]]="","M",Tasks[[#This Row],[Effort]]),EffortTable,2,FALSE),0))</f>
        <v/>
      </c>
      <c r="N272" t="str">
        <f>IF(Tasks[[#This Row],[Task]]="","",IFERROR(MATCH(Tasks[[#This Row],[Status]],{"Late","Blocked","Due soon"},0),9)*100000+N(Tasks[[#This Row],[Due]]))</f>
        <v/>
      </c>
      <c r="O272" t="str" cm="1">
        <f t="array" aca="1" ref="O2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2" t="str" cm="1">
        <f t="array" ref="P2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2" t="str" cm="1">
        <f t="array" ref="Q2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2" t="str" cm="1">
        <f t="array" ref="R2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3" spans="1:18" x14ac:dyDescent="0.25">
      <c r="A273" s="14" t="str" cm="1">
        <f t="array" ref="A273">IF(Tasks[[#This Row],[Task]]="","","T-"&amp;TEXT(ROW()-ROW(Tasks[#Headers]),"000"))</f>
        <v/>
      </c>
      <c r="B273" s="15"/>
      <c r="C273" s="15"/>
      <c r="D273" s="15"/>
      <c r="E273" s="15"/>
      <c r="F273" s="16"/>
      <c r="G273" s="16"/>
      <c r="H273" s="16"/>
      <c r="I273" s="15"/>
      <c r="J273" s="15"/>
      <c r="K2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3" s="17" t="str">
        <f>IF(Tasks[[#This Row],[Task]]="","",IFERROR(VLOOKUP(IF(Tasks[[#This Row],[Effort]]="","M",Tasks[[#This Row],[Effort]]),EffortTable,2,FALSE),0))</f>
        <v/>
      </c>
      <c r="N273" t="str">
        <f>IF(Tasks[[#This Row],[Task]]="","",IFERROR(MATCH(Tasks[[#This Row],[Status]],{"Late","Blocked","Due soon"},0),9)*100000+N(Tasks[[#This Row],[Due]]))</f>
        <v/>
      </c>
      <c r="O273" t="str" cm="1">
        <f t="array" aca="1" ref="O2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3" t="str" cm="1">
        <f t="array" ref="P2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3" t="str" cm="1">
        <f t="array" ref="Q2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3" t="str" cm="1">
        <f t="array" ref="R2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4" spans="1:18" x14ac:dyDescent="0.25">
      <c r="A274" s="14" t="str" cm="1">
        <f t="array" ref="A274">IF(Tasks[[#This Row],[Task]]="","","T-"&amp;TEXT(ROW()-ROW(Tasks[#Headers]),"000"))</f>
        <v/>
      </c>
      <c r="B274" s="15"/>
      <c r="C274" s="15"/>
      <c r="D274" s="15"/>
      <c r="E274" s="15"/>
      <c r="F274" s="16"/>
      <c r="G274" s="16"/>
      <c r="H274" s="16"/>
      <c r="I274" s="15"/>
      <c r="J274" s="15"/>
      <c r="K2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4" s="17" t="str">
        <f>IF(Tasks[[#This Row],[Task]]="","",IFERROR(VLOOKUP(IF(Tasks[[#This Row],[Effort]]="","M",Tasks[[#This Row],[Effort]]),EffortTable,2,FALSE),0))</f>
        <v/>
      </c>
      <c r="N274" t="str">
        <f>IF(Tasks[[#This Row],[Task]]="","",IFERROR(MATCH(Tasks[[#This Row],[Status]],{"Late","Blocked","Due soon"},0),9)*100000+N(Tasks[[#This Row],[Due]]))</f>
        <v/>
      </c>
      <c r="O274" t="str" cm="1">
        <f t="array" aca="1" ref="O2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4" t="str" cm="1">
        <f t="array" ref="P2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4" t="str" cm="1">
        <f t="array" ref="Q2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4" t="str" cm="1">
        <f t="array" ref="R2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5" spans="1:18" x14ac:dyDescent="0.25">
      <c r="A275" s="14" t="str" cm="1">
        <f t="array" ref="A275">IF(Tasks[[#This Row],[Task]]="","","T-"&amp;TEXT(ROW()-ROW(Tasks[#Headers]),"000"))</f>
        <v/>
      </c>
      <c r="B275" s="15"/>
      <c r="C275" s="15"/>
      <c r="D275" s="15"/>
      <c r="E275" s="15"/>
      <c r="F275" s="16"/>
      <c r="G275" s="16"/>
      <c r="H275" s="16"/>
      <c r="I275" s="15"/>
      <c r="J275" s="15"/>
      <c r="K2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5" s="17" t="str">
        <f>IF(Tasks[[#This Row],[Task]]="","",IFERROR(VLOOKUP(IF(Tasks[[#This Row],[Effort]]="","M",Tasks[[#This Row],[Effort]]),EffortTable,2,FALSE),0))</f>
        <v/>
      </c>
      <c r="N275" t="str">
        <f>IF(Tasks[[#This Row],[Task]]="","",IFERROR(MATCH(Tasks[[#This Row],[Status]],{"Late","Blocked","Due soon"},0),9)*100000+N(Tasks[[#This Row],[Due]]))</f>
        <v/>
      </c>
      <c r="O275" t="str" cm="1">
        <f t="array" aca="1" ref="O2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5" t="str" cm="1">
        <f t="array" ref="P2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5" t="str" cm="1">
        <f t="array" ref="Q2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5" t="str" cm="1">
        <f t="array" ref="R2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6" spans="1:18" x14ac:dyDescent="0.25">
      <c r="A276" s="14" t="str" cm="1">
        <f t="array" ref="A276">IF(Tasks[[#This Row],[Task]]="","","T-"&amp;TEXT(ROW()-ROW(Tasks[#Headers]),"000"))</f>
        <v/>
      </c>
      <c r="B276" s="15"/>
      <c r="C276" s="15"/>
      <c r="D276" s="15"/>
      <c r="E276" s="15"/>
      <c r="F276" s="16"/>
      <c r="G276" s="16"/>
      <c r="H276" s="16"/>
      <c r="I276" s="15"/>
      <c r="J276" s="15"/>
      <c r="K2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6" s="17" t="str">
        <f>IF(Tasks[[#This Row],[Task]]="","",IFERROR(VLOOKUP(IF(Tasks[[#This Row],[Effort]]="","M",Tasks[[#This Row],[Effort]]),EffortTable,2,FALSE),0))</f>
        <v/>
      </c>
      <c r="N276" t="str">
        <f>IF(Tasks[[#This Row],[Task]]="","",IFERROR(MATCH(Tasks[[#This Row],[Status]],{"Late","Blocked","Due soon"},0),9)*100000+N(Tasks[[#This Row],[Due]]))</f>
        <v/>
      </c>
      <c r="O276" t="str" cm="1">
        <f t="array" aca="1" ref="O2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6" t="str" cm="1">
        <f t="array" ref="P2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6" t="str" cm="1">
        <f t="array" ref="Q2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6" t="str" cm="1">
        <f t="array" ref="R2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7" spans="1:18" x14ac:dyDescent="0.25">
      <c r="A277" s="14" t="str" cm="1">
        <f t="array" ref="A277">IF(Tasks[[#This Row],[Task]]="","","T-"&amp;TEXT(ROW()-ROW(Tasks[#Headers]),"000"))</f>
        <v/>
      </c>
      <c r="B277" s="15"/>
      <c r="C277" s="15"/>
      <c r="D277" s="15"/>
      <c r="E277" s="15"/>
      <c r="F277" s="16"/>
      <c r="G277" s="16"/>
      <c r="H277" s="16"/>
      <c r="I277" s="15"/>
      <c r="J277" s="15"/>
      <c r="K2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7" s="17" t="str">
        <f>IF(Tasks[[#This Row],[Task]]="","",IFERROR(VLOOKUP(IF(Tasks[[#This Row],[Effort]]="","M",Tasks[[#This Row],[Effort]]),EffortTable,2,FALSE),0))</f>
        <v/>
      </c>
      <c r="N277" t="str">
        <f>IF(Tasks[[#This Row],[Task]]="","",IFERROR(MATCH(Tasks[[#This Row],[Status]],{"Late","Blocked","Due soon"},0),9)*100000+N(Tasks[[#This Row],[Due]]))</f>
        <v/>
      </c>
      <c r="O277" t="str" cm="1">
        <f t="array" aca="1" ref="O2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7" t="str" cm="1">
        <f t="array" ref="P2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7" t="str" cm="1">
        <f t="array" ref="Q2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7" t="str" cm="1">
        <f t="array" ref="R2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8" spans="1:18" x14ac:dyDescent="0.25">
      <c r="A278" s="14" t="str" cm="1">
        <f t="array" ref="A278">IF(Tasks[[#This Row],[Task]]="","","T-"&amp;TEXT(ROW()-ROW(Tasks[#Headers]),"000"))</f>
        <v/>
      </c>
      <c r="B278" s="15"/>
      <c r="C278" s="15"/>
      <c r="D278" s="15"/>
      <c r="E278" s="15"/>
      <c r="F278" s="16"/>
      <c r="G278" s="16"/>
      <c r="H278" s="16"/>
      <c r="I278" s="15"/>
      <c r="J278" s="15"/>
      <c r="K2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8" s="17" t="str">
        <f>IF(Tasks[[#This Row],[Task]]="","",IFERROR(VLOOKUP(IF(Tasks[[#This Row],[Effort]]="","M",Tasks[[#This Row],[Effort]]),EffortTable,2,FALSE),0))</f>
        <v/>
      </c>
      <c r="N278" t="str">
        <f>IF(Tasks[[#This Row],[Task]]="","",IFERROR(MATCH(Tasks[[#This Row],[Status]],{"Late","Blocked","Due soon"},0),9)*100000+N(Tasks[[#This Row],[Due]]))</f>
        <v/>
      </c>
      <c r="O278" t="str" cm="1">
        <f t="array" aca="1" ref="O2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8" t="str" cm="1">
        <f t="array" ref="P2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8" t="str" cm="1">
        <f t="array" ref="Q2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8" t="str" cm="1">
        <f t="array" ref="R2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79" spans="1:18" x14ac:dyDescent="0.25">
      <c r="A279" s="14" t="str" cm="1">
        <f t="array" ref="A279">IF(Tasks[[#This Row],[Task]]="","","T-"&amp;TEXT(ROW()-ROW(Tasks[#Headers]),"000"))</f>
        <v/>
      </c>
      <c r="B279" s="15"/>
      <c r="C279" s="15"/>
      <c r="D279" s="15"/>
      <c r="E279" s="15"/>
      <c r="F279" s="16"/>
      <c r="G279" s="16"/>
      <c r="H279" s="16"/>
      <c r="I279" s="15"/>
      <c r="J279" s="15"/>
      <c r="K2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79" s="17" t="str">
        <f>IF(Tasks[[#This Row],[Task]]="","",IFERROR(VLOOKUP(IF(Tasks[[#This Row],[Effort]]="","M",Tasks[[#This Row],[Effort]]),EffortTable,2,FALSE),0))</f>
        <v/>
      </c>
      <c r="N279" t="str">
        <f>IF(Tasks[[#This Row],[Task]]="","",IFERROR(MATCH(Tasks[[#This Row],[Status]],{"Late","Blocked","Due soon"},0),9)*100000+N(Tasks[[#This Row],[Due]]))</f>
        <v/>
      </c>
      <c r="O279" t="str" cm="1">
        <f t="array" aca="1" ref="O2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79" t="str" cm="1">
        <f t="array" ref="P2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79" t="str" cm="1">
        <f t="array" ref="Q2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79" t="str" cm="1">
        <f t="array" ref="R2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0" spans="1:18" x14ac:dyDescent="0.25">
      <c r="A280" s="14" t="str" cm="1">
        <f t="array" ref="A280">IF(Tasks[[#This Row],[Task]]="","","T-"&amp;TEXT(ROW()-ROW(Tasks[#Headers]),"000"))</f>
        <v/>
      </c>
      <c r="B280" s="15"/>
      <c r="C280" s="15"/>
      <c r="D280" s="15"/>
      <c r="E280" s="15"/>
      <c r="F280" s="16"/>
      <c r="G280" s="16"/>
      <c r="H280" s="16"/>
      <c r="I280" s="15"/>
      <c r="J280" s="15"/>
      <c r="K2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0" s="17" t="str">
        <f>IF(Tasks[[#This Row],[Task]]="","",IFERROR(VLOOKUP(IF(Tasks[[#This Row],[Effort]]="","M",Tasks[[#This Row],[Effort]]),EffortTable,2,FALSE),0))</f>
        <v/>
      </c>
      <c r="N280" t="str">
        <f>IF(Tasks[[#This Row],[Task]]="","",IFERROR(MATCH(Tasks[[#This Row],[Status]],{"Late","Blocked","Due soon"},0),9)*100000+N(Tasks[[#This Row],[Due]]))</f>
        <v/>
      </c>
      <c r="O280" t="str" cm="1">
        <f t="array" aca="1" ref="O2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0" t="str" cm="1">
        <f t="array" ref="P2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0" t="str" cm="1">
        <f t="array" ref="Q2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0" t="str" cm="1">
        <f t="array" ref="R2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1" spans="1:18" x14ac:dyDescent="0.25">
      <c r="A281" s="14" t="str" cm="1">
        <f t="array" ref="A281">IF(Tasks[[#This Row],[Task]]="","","T-"&amp;TEXT(ROW()-ROW(Tasks[#Headers]),"000"))</f>
        <v/>
      </c>
      <c r="B281" s="15"/>
      <c r="C281" s="15"/>
      <c r="D281" s="15"/>
      <c r="E281" s="15"/>
      <c r="F281" s="16"/>
      <c r="G281" s="16"/>
      <c r="H281" s="16"/>
      <c r="I281" s="15"/>
      <c r="J281" s="15"/>
      <c r="K2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1" s="17" t="str">
        <f>IF(Tasks[[#This Row],[Task]]="","",IFERROR(VLOOKUP(IF(Tasks[[#This Row],[Effort]]="","M",Tasks[[#This Row],[Effort]]),EffortTable,2,FALSE),0))</f>
        <v/>
      </c>
      <c r="N281" t="str">
        <f>IF(Tasks[[#This Row],[Task]]="","",IFERROR(MATCH(Tasks[[#This Row],[Status]],{"Late","Blocked","Due soon"},0),9)*100000+N(Tasks[[#This Row],[Due]]))</f>
        <v/>
      </c>
      <c r="O281" t="str" cm="1">
        <f t="array" aca="1" ref="O2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1" t="str" cm="1">
        <f t="array" ref="P2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1" t="str" cm="1">
        <f t="array" ref="Q2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1" t="str" cm="1">
        <f t="array" ref="R2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2" spans="1:18" x14ac:dyDescent="0.25">
      <c r="A282" s="14" t="str" cm="1">
        <f t="array" ref="A282">IF(Tasks[[#This Row],[Task]]="","","T-"&amp;TEXT(ROW()-ROW(Tasks[#Headers]),"000"))</f>
        <v/>
      </c>
      <c r="B282" s="15"/>
      <c r="C282" s="15"/>
      <c r="D282" s="15"/>
      <c r="E282" s="15"/>
      <c r="F282" s="16"/>
      <c r="G282" s="16"/>
      <c r="H282" s="16"/>
      <c r="I282" s="15"/>
      <c r="J282" s="15"/>
      <c r="K2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2" s="17" t="str">
        <f>IF(Tasks[[#This Row],[Task]]="","",IFERROR(VLOOKUP(IF(Tasks[[#This Row],[Effort]]="","M",Tasks[[#This Row],[Effort]]),EffortTable,2,FALSE),0))</f>
        <v/>
      </c>
      <c r="N282" t="str">
        <f>IF(Tasks[[#This Row],[Task]]="","",IFERROR(MATCH(Tasks[[#This Row],[Status]],{"Late","Blocked","Due soon"},0),9)*100000+N(Tasks[[#This Row],[Due]]))</f>
        <v/>
      </c>
      <c r="O282" t="str" cm="1">
        <f t="array" aca="1" ref="O2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2" t="str" cm="1">
        <f t="array" ref="P2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2" t="str" cm="1">
        <f t="array" ref="Q2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2" t="str" cm="1">
        <f t="array" ref="R2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3" spans="1:18" x14ac:dyDescent="0.25">
      <c r="A283" s="14" t="str" cm="1">
        <f t="array" ref="A283">IF(Tasks[[#This Row],[Task]]="","","T-"&amp;TEXT(ROW()-ROW(Tasks[#Headers]),"000"))</f>
        <v/>
      </c>
      <c r="B283" s="15"/>
      <c r="C283" s="15"/>
      <c r="D283" s="15"/>
      <c r="E283" s="15"/>
      <c r="F283" s="16"/>
      <c r="G283" s="16"/>
      <c r="H283" s="16"/>
      <c r="I283" s="15"/>
      <c r="J283" s="15"/>
      <c r="K2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3" s="17" t="str">
        <f>IF(Tasks[[#This Row],[Task]]="","",IFERROR(VLOOKUP(IF(Tasks[[#This Row],[Effort]]="","M",Tasks[[#This Row],[Effort]]),EffortTable,2,FALSE),0))</f>
        <v/>
      </c>
      <c r="N283" t="str">
        <f>IF(Tasks[[#This Row],[Task]]="","",IFERROR(MATCH(Tasks[[#This Row],[Status]],{"Late","Blocked","Due soon"},0),9)*100000+N(Tasks[[#This Row],[Due]]))</f>
        <v/>
      </c>
      <c r="O283" t="str" cm="1">
        <f t="array" aca="1" ref="O2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3" t="str" cm="1">
        <f t="array" ref="P2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3" t="str" cm="1">
        <f t="array" ref="Q2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3" t="str" cm="1">
        <f t="array" ref="R2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4" spans="1:18" x14ac:dyDescent="0.25">
      <c r="A284" s="14" t="str" cm="1">
        <f t="array" ref="A284">IF(Tasks[[#This Row],[Task]]="","","T-"&amp;TEXT(ROW()-ROW(Tasks[#Headers]),"000"))</f>
        <v/>
      </c>
      <c r="B284" s="15"/>
      <c r="C284" s="15"/>
      <c r="D284" s="15"/>
      <c r="E284" s="15"/>
      <c r="F284" s="16"/>
      <c r="G284" s="16"/>
      <c r="H284" s="16"/>
      <c r="I284" s="15"/>
      <c r="J284" s="15"/>
      <c r="K2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4" s="17" t="str">
        <f>IF(Tasks[[#This Row],[Task]]="","",IFERROR(VLOOKUP(IF(Tasks[[#This Row],[Effort]]="","M",Tasks[[#This Row],[Effort]]),EffortTable,2,FALSE),0))</f>
        <v/>
      </c>
      <c r="N284" t="str">
        <f>IF(Tasks[[#This Row],[Task]]="","",IFERROR(MATCH(Tasks[[#This Row],[Status]],{"Late","Blocked","Due soon"},0),9)*100000+N(Tasks[[#This Row],[Due]]))</f>
        <v/>
      </c>
      <c r="O284" t="str" cm="1">
        <f t="array" aca="1" ref="O2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4" t="str" cm="1">
        <f t="array" ref="P2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4" t="str" cm="1">
        <f t="array" ref="Q2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4" t="str" cm="1">
        <f t="array" ref="R2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5" spans="1:18" x14ac:dyDescent="0.25">
      <c r="A285" s="14" t="str" cm="1">
        <f t="array" ref="A285">IF(Tasks[[#This Row],[Task]]="","","T-"&amp;TEXT(ROW()-ROW(Tasks[#Headers]),"000"))</f>
        <v/>
      </c>
      <c r="B285" s="15"/>
      <c r="C285" s="15"/>
      <c r="D285" s="15"/>
      <c r="E285" s="15"/>
      <c r="F285" s="16"/>
      <c r="G285" s="16"/>
      <c r="H285" s="16"/>
      <c r="I285" s="15"/>
      <c r="J285" s="15"/>
      <c r="K2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5" s="17" t="str">
        <f>IF(Tasks[[#This Row],[Task]]="","",IFERROR(VLOOKUP(IF(Tasks[[#This Row],[Effort]]="","M",Tasks[[#This Row],[Effort]]),EffortTable,2,FALSE),0))</f>
        <v/>
      </c>
      <c r="N285" t="str">
        <f>IF(Tasks[[#This Row],[Task]]="","",IFERROR(MATCH(Tasks[[#This Row],[Status]],{"Late","Blocked","Due soon"},0),9)*100000+N(Tasks[[#This Row],[Due]]))</f>
        <v/>
      </c>
      <c r="O285" t="str" cm="1">
        <f t="array" aca="1" ref="O2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5" t="str" cm="1">
        <f t="array" ref="P2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5" t="str" cm="1">
        <f t="array" ref="Q2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5" t="str" cm="1">
        <f t="array" ref="R2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6" spans="1:18" x14ac:dyDescent="0.25">
      <c r="A286" s="14" t="str" cm="1">
        <f t="array" ref="A286">IF(Tasks[[#This Row],[Task]]="","","T-"&amp;TEXT(ROW()-ROW(Tasks[#Headers]),"000"))</f>
        <v/>
      </c>
      <c r="B286" s="15"/>
      <c r="C286" s="15"/>
      <c r="D286" s="15"/>
      <c r="E286" s="15"/>
      <c r="F286" s="16"/>
      <c r="G286" s="16"/>
      <c r="H286" s="16"/>
      <c r="I286" s="15"/>
      <c r="J286" s="15"/>
      <c r="K2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6" s="17" t="str">
        <f>IF(Tasks[[#This Row],[Task]]="","",IFERROR(VLOOKUP(IF(Tasks[[#This Row],[Effort]]="","M",Tasks[[#This Row],[Effort]]),EffortTable,2,FALSE),0))</f>
        <v/>
      </c>
      <c r="N286" t="str">
        <f>IF(Tasks[[#This Row],[Task]]="","",IFERROR(MATCH(Tasks[[#This Row],[Status]],{"Late","Blocked","Due soon"},0),9)*100000+N(Tasks[[#This Row],[Due]]))</f>
        <v/>
      </c>
      <c r="O286" t="str" cm="1">
        <f t="array" aca="1" ref="O2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6" t="str" cm="1">
        <f t="array" ref="P2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6" t="str" cm="1">
        <f t="array" ref="Q2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6" t="str" cm="1">
        <f t="array" ref="R2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7" spans="1:18" x14ac:dyDescent="0.25">
      <c r="A287" s="14" t="str" cm="1">
        <f t="array" ref="A287">IF(Tasks[[#This Row],[Task]]="","","T-"&amp;TEXT(ROW()-ROW(Tasks[#Headers]),"000"))</f>
        <v/>
      </c>
      <c r="B287" s="15"/>
      <c r="C287" s="15"/>
      <c r="D287" s="15"/>
      <c r="E287" s="15"/>
      <c r="F287" s="16"/>
      <c r="G287" s="16"/>
      <c r="H287" s="16"/>
      <c r="I287" s="15"/>
      <c r="J287" s="15"/>
      <c r="K2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7" s="17" t="str">
        <f>IF(Tasks[[#This Row],[Task]]="","",IFERROR(VLOOKUP(IF(Tasks[[#This Row],[Effort]]="","M",Tasks[[#This Row],[Effort]]),EffortTable,2,FALSE),0))</f>
        <v/>
      </c>
      <c r="N287" t="str">
        <f>IF(Tasks[[#This Row],[Task]]="","",IFERROR(MATCH(Tasks[[#This Row],[Status]],{"Late","Blocked","Due soon"},0),9)*100000+N(Tasks[[#This Row],[Due]]))</f>
        <v/>
      </c>
      <c r="O287" t="str" cm="1">
        <f t="array" aca="1" ref="O2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7" t="str" cm="1">
        <f t="array" ref="P2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7" t="str" cm="1">
        <f t="array" ref="Q2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7" t="str" cm="1">
        <f t="array" ref="R2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8" spans="1:18" x14ac:dyDescent="0.25">
      <c r="A288" s="14" t="str" cm="1">
        <f t="array" ref="A288">IF(Tasks[[#This Row],[Task]]="","","T-"&amp;TEXT(ROW()-ROW(Tasks[#Headers]),"000"))</f>
        <v/>
      </c>
      <c r="B288" s="15"/>
      <c r="C288" s="15"/>
      <c r="D288" s="15"/>
      <c r="E288" s="15"/>
      <c r="F288" s="16"/>
      <c r="G288" s="16"/>
      <c r="H288" s="16"/>
      <c r="I288" s="15"/>
      <c r="J288" s="15"/>
      <c r="K2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8" s="17" t="str">
        <f>IF(Tasks[[#This Row],[Task]]="","",IFERROR(VLOOKUP(IF(Tasks[[#This Row],[Effort]]="","M",Tasks[[#This Row],[Effort]]),EffortTable,2,FALSE),0))</f>
        <v/>
      </c>
      <c r="N288" t="str">
        <f>IF(Tasks[[#This Row],[Task]]="","",IFERROR(MATCH(Tasks[[#This Row],[Status]],{"Late","Blocked","Due soon"},0),9)*100000+N(Tasks[[#This Row],[Due]]))</f>
        <v/>
      </c>
      <c r="O288" t="str" cm="1">
        <f t="array" aca="1" ref="O2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8" t="str" cm="1">
        <f t="array" ref="P2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8" t="str" cm="1">
        <f t="array" ref="Q2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8" t="str" cm="1">
        <f t="array" ref="R2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89" spans="1:18" x14ac:dyDescent="0.25">
      <c r="A289" s="14" t="str" cm="1">
        <f t="array" ref="A289">IF(Tasks[[#This Row],[Task]]="","","T-"&amp;TEXT(ROW()-ROW(Tasks[#Headers]),"000"))</f>
        <v/>
      </c>
      <c r="B289" s="15"/>
      <c r="C289" s="15"/>
      <c r="D289" s="15"/>
      <c r="E289" s="15"/>
      <c r="F289" s="16"/>
      <c r="G289" s="16"/>
      <c r="H289" s="16"/>
      <c r="I289" s="15"/>
      <c r="J289" s="15"/>
      <c r="K2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89" s="17" t="str">
        <f>IF(Tasks[[#This Row],[Task]]="","",IFERROR(VLOOKUP(IF(Tasks[[#This Row],[Effort]]="","M",Tasks[[#This Row],[Effort]]),EffortTable,2,FALSE),0))</f>
        <v/>
      </c>
      <c r="N289" t="str">
        <f>IF(Tasks[[#This Row],[Task]]="","",IFERROR(MATCH(Tasks[[#This Row],[Status]],{"Late","Blocked","Due soon"},0),9)*100000+N(Tasks[[#This Row],[Due]]))</f>
        <v/>
      </c>
      <c r="O289" t="str" cm="1">
        <f t="array" aca="1" ref="O2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89" t="str" cm="1">
        <f t="array" ref="P2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89" t="str" cm="1">
        <f t="array" ref="Q2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89" t="str" cm="1">
        <f t="array" ref="R2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0" spans="1:18" x14ac:dyDescent="0.25">
      <c r="A290" s="14" t="str" cm="1">
        <f t="array" ref="A290">IF(Tasks[[#This Row],[Task]]="","","T-"&amp;TEXT(ROW()-ROW(Tasks[#Headers]),"000"))</f>
        <v/>
      </c>
      <c r="B290" s="15"/>
      <c r="C290" s="15"/>
      <c r="D290" s="15"/>
      <c r="E290" s="15"/>
      <c r="F290" s="16"/>
      <c r="G290" s="16"/>
      <c r="H290" s="16"/>
      <c r="I290" s="15"/>
      <c r="J290" s="15"/>
      <c r="K2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0" s="17" t="str">
        <f>IF(Tasks[[#This Row],[Task]]="","",IFERROR(VLOOKUP(IF(Tasks[[#This Row],[Effort]]="","M",Tasks[[#This Row],[Effort]]),EffortTable,2,FALSE),0))</f>
        <v/>
      </c>
      <c r="N290" t="str">
        <f>IF(Tasks[[#This Row],[Task]]="","",IFERROR(MATCH(Tasks[[#This Row],[Status]],{"Late","Blocked","Due soon"},0),9)*100000+N(Tasks[[#This Row],[Due]]))</f>
        <v/>
      </c>
      <c r="O290" t="str" cm="1">
        <f t="array" aca="1" ref="O2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0" t="str" cm="1">
        <f t="array" ref="P2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0" t="str" cm="1">
        <f t="array" ref="Q2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0" t="str" cm="1">
        <f t="array" ref="R2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1" spans="1:18" x14ac:dyDescent="0.25">
      <c r="A291" s="14" t="str" cm="1">
        <f t="array" ref="A291">IF(Tasks[[#This Row],[Task]]="","","T-"&amp;TEXT(ROW()-ROW(Tasks[#Headers]),"000"))</f>
        <v/>
      </c>
      <c r="B291" s="15"/>
      <c r="C291" s="15"/>
      <c r="D291" s="15"/>
      <c r="E291" s="15"/>
      <c r="F291" s="16"/>
      <c r="G291" s="16"/>
      <c r="H291" s="16"/>
      <c r="I291" s="15"/>
      <c r="J291" s="15"/>
      <c r="K2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1" s="17" t="str">
        <f>IF(Tasks[[#This Row],[Task]]="","",IFERROR(VLOOKUP(IF(Tasks[[#This Row],[Effort]]="","M",Tasks[[#This Row],[Effort]]),EffortTable,2,FALSE),0))</f>
        <v/>
      </c>
      <c r="N291" t="str">
        <f>IF(Tasks[[#This Row],[Task]]="","",IFERROR(MATCH(Tasks[[#This Row],[Status]],{"Late","Blocked","Due soon"},0),9)*100000+N(Tasks[[#This Row],[Due]]))</f>
        <v/>
      </c>
      <c r="O291" t="str" cm="1">
        <f t="array" aca="1" ref="O2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1" t="str" cm="1">
        <f t="array" ref="P2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1" t="str" cm="1">
        <f t="array" ref="Q2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1" t="str" cm="1">
        <f t="array" ref="R2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2" spans="1:18" x14ac:dyDescent="0.25">
      <c r="A292" s="14" t="str" cm="1">
        <f t="array" ref="A292">IF(Tasks[[#This Row],[Task]]="","","T-"&amp;TEXT(ROW()-ROW(Tasks[#Headers]),"000"))</f>
        <v/>
      </c>
      <c r="B292" s="15"/>
      <c r="C292" s="15"/>
      <c r="D292" s="15"/>
      <c r="E292" s="15"/>
      <c r="F292" s="16"/>
      <c r="G292" s="16"/>
      <c r="H292" s="16"/>
      <c r="I292" s="15"/>
      <c r="J292" s="15"/>
      <c r="K2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2" s="17" t="str">
        <f>IF(Tasks[[#This Row],[Task]]="","",IFERROR(VLOOKUP(IF(Tasks[[#This Row],[Effort]]="","M",Tasks[[#This Row],[Effort]]),EffortTable,2,FALSE),0))</f>
        <v/>
      </c>
      <c r="N292" t="str">
        <f>IF(Tasks[[#This Row],[Task]]="","",IFERROR(MATCH(Tasks[[#This Row],[Status]],{"Late","Blocked","Due soon"},0),9)*100000+N(Tasks[[#This Row],[Due]]))</f>
        <v/>
      </c>
      <c r="O292" t="str" cm="1">
        <f t="array" aca="1" ref="O2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2" t="str" cm="1">
        <f t="array" ref="P2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2" t="str" cm="1">
        <f t="array" ref="Q2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2" t="str" cm="1">
        <f t="array" ref="R2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3" spans="1:18" x14ac:dyDescent="0.25">
      <c r="A293" s="14" t="str" cm="1">
        <f t="array" ref="A293">IF(Tasks[[#This Row],[Task]]="","","T-"&amp;TEXT(ROW()-ROW(Tasks[#Headers]),"000"))</f>
        <v/>
      </c>
      <c r="B293" s="15"/>
      <c r="C293" s="15"/>
      <c r="D293" s="15"/>
      <c r="E293" s="15"/>
      <c r="F293" s="16"/>
      <c r="G293" s="16"/>
      <c r="H293" s="16"/>
      <c r="I293" s="15"/>
      <c r="J293" s="15"/>
      <c r="K2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3" s="17" t="str">
        <f>IF(Tasks[[#This Row],[Task]]="","",IFERROR(VLOOKUP(IF(Tasks[[#This Row],[Effort]]="","M",Tasks[[#This Row],[Effort]]),EffortTable,2,FALSE),0))</f>
        <v/>
      </c>
      <c r="N293" t="str">
        <f>IF(Tasks[[#This Row],[Task]]="","",IFERROR(MATCH(Tasks[[#This Row],[Status]],{"Late","Blocked","Due soon"},0),9)*100000+N(Tasks[[#This Row],[Due]]))</f>
        <v/>
      </c>
      <c r="O293" t="str" cm="1">
        <f t="array" aca="1" ref="O2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3" t="str" cm="1">
        <f t="array" ref="P2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3" t="str" cm="1">
        <f t="array" ref="Q2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3" t="str" cm="1">
        <f t="array" ref="R2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4" spans="1:18" x14ac:dyDescent="0.25">
      <c r="A294" s="14" t="str" cm="1">
        <f t="array" ref="A294">IF(Tasks[[#This Row],[Task]]="","","T-"&amp;TEXT(ROW()-ROW(Tasks[#Headers]),"000"))</f>
        <v/>
      </c>
      <c r="B294" s="15"/>
      <c r="C294" s="15"/>
      <c r="D294" s="15"/>
      <c r="E294" s="15"/>
      <c r="F294" s="16"/>
      <c r="G294" s="16"/>
      <c r="H294" s="16"/>
      <c r="I294" s="15"/>
      <c r="J294" s="15"/>
      <c r="K2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4" s="17" t="str">
        <f>IF(Tasks[[#This Row],[Task]]="","",IFERROR(VLOOKUP(IF(Tasks[[#This Row],[Effort]]="","M",Tasks[[#This Row],[Effort]]),EffortTable,2,FALSE),0))</f>
        <v/>
      </c>
      <c r="N294" t="str">
        <f>IF(Tasks[[#This Row],[Task]]="","",IFERROR(MATCH(Tasks[[#This Row],[Status]],{"Late","Blocked","Due soon"},0),9)*100000+N(Tasks[[#This Row],[Due]]))</f>
        <v/>
      </c>
      <c r="O294" t="str" cm="1">
        <f t="array" aca="1" ref="O2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4" t="str" cm="1">
        <f t="array" ref="P2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4" t="str" cm="1">
        <f t="array" ref="Q2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4" t="str" cm="1">
        <f t="array" ref="R2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5" spans="1:18" x14ac:dyDescent="0.25">
      <c r="A295" s="14" t="str" cm="1">
        <f t="array" ref="A295">IF(Tasks[[#This Row],[Task]]="","","T-"&amp;TEXT(ROW()-ROW(Tasks[#Headers]),"000"))</f>
        <v/>
      </c>
      <c r="B295" s="15"/>
      <c r="C295" s="15"/>
      <c r="D295" s="15"/>
      <c r="E295" s="15"/>
      <c r="F295" s="16"/>
      <c r="G295" s="16"/>
      <c r="H295" s="16"/>
      <c r="I295" s="15"/>
      <c r="J295" s="15"/>
      <c r="K2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5" s="17" t="str">
        <f>IF(Tasks[[#This Row],[Task]]="","",IFERROR(VLOOKUP(IF(Tasks[[#This Row],[Effort]]="","M",Tasks[[#This Row],[Effort]]),EffortTable,2,FALSE),0))</f>
        <v/>
      </c>
      <c r="N295" t="str">
        <f>IF(Tasks[[#This Row],[Task]]="","",IFERROR(MATCH(Tasks[[#This Row],[Status]],{"Late","Blocked","Due soon"},0),9)*100000+N(Tasks[[#This Row],[Due]]))</f>
        <v/>
      </c>
      <c r="O295" t="str" cm="1">
        <f t="array" aca="1" ref="O2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5" t="str" cm="1">
        <f t="array" ref="P2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5" t="str" cm="1">
        <f t="array" ref="Q2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5" t="str" cm="1">
        <f t="array" ref="R2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6" spans="1:18" x14ac:dyDescent="0.25">
      <c r="A296" s="14" t="str" cm="1">
        <f t="array" ref="A296">IF(Tasks[[#This Row],[Task]]="","","T-"&amp;TEXT(ROW()-ROW(Tasks[#Headers]),"000"))</f>
        <v/>
      </c>
      <c r="B296" s="15"/>
      <c r="C296" s="15"/>
      <c r="D296" s="15"/>
      <c r="E296" s="15"/>
      <c r="F296" s="16"/>
      <c r="G296" s="16"/>
      <c r="H296" s="16"/>
      <c r="I296" s="15"/>
      <c r="J296" s="15"/>
      <c r="K2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6" s="17" t="str">
        <f>IF(Tasks[[#This Row],[Task]]="","",IFERROR(VLOOKUP(IF(Tasks[[#This Row],[Effort]]="","M",Tasks[[#This Row],[Effort]]),EffortTable,2,FALSE),0))</f>
        <v/>
      </c>
      <c r="N296" t="str">
        <f>IF(Tasks[[#This Row],[Task]]="","",IFERROR(MATCH(Tasks[[#This Row],[Status]],{"Late","Blocked","Due soon"},0),9)*100000+N(Tasks[[#This Row],[Due]]))</f>
        <v/>
      </c>
      <c r="O296" t="str" cm="1">
        <f t="array" aca="1" ref="O2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6" t="str" cm="1">
        <f t="array" ref="P2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6" t="str" cm="1">
        <f t="array" ref="Q2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6" t="str" cm="1">
        <f t="array" ref="R2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7" spans="1:18" x14ac:dyDescent="0.25">
      <c r="A297" s="14" t="str" cm="1">
        <f t="array" ref="A297">IF(Tasks[[#This Row],[Task]]="","","T-"&amp;TEXT(ROW()-ROW(Tasks[#Headers]),"000"))</f>
        <v/>
      </c>
      <c r="B297" s="15"/>
      <c r="C297" s="15"/>
      <c r="D297" s="15"/>
      <c r="E297" s="15"/>
      <c r="F297" s="16"/>
      <c r="G297" s="16"/>
      <c r="H297" s="16"/>
      <c r="I297" s="15"/>
      <c r="J297" s="15"/>
      <c r="K2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7" s="17" t="str">
        <f>IF(Tasks[[#This Row],[Task]]="","",IFERROR(VLOOKUP(IF(Tasks[[#This Row],[Effort]]="","M",Tasks[[#This Row],[Effort]]),EffortTable,2,FALSE),0))</f>
        <v/>
      </c>
      <c r="N297" t="str">
        <f>IF(Tasks[[#This Row],[Task]]="","",IFERROR(MATCH(Tasks[[#This Row],[Status]],{"Late","Blocked","Due soon"},0),9)*100000+N(Tasks[[#This Row],[Due]]))</f>
        <v/>
      </c>
      <c r="O297" t="str" cm="1">
        <f t="array" aca="1" ref="O2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7" t="str" cm="1">
        <f t="array" ref="P2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7" t="str" cm="1">
        <f t="array" ref="Q2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7" t="str" cm="1">
        <f t="array" ref="R2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8" spans="1:18" x14ac:dyDescent="0.25">
      <c r="A298" s="14" t="str" cm="1">
        <f t="array" ref="A298">IF(Tasks[[#This Row],[Task]]="","","T-"&amp;TEXT(ROW()-ROW(Tasks[#Headers]),"000"))</f>
        <v/>
      </c>
      <c r="B298" s="15"/>
      <c r="C298" s="15"/>
      <c r="D298" s="15"/>
      <c r="E298" s="15"/>
      <c r="F298" s="16"/>
      <c r="G298" s="16"/>
      <c r="H298" s="16"/>
      <c r="I298" s="15"/>
      <c r="J298" s="15"/>
      <c r="K2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8" s="17" t="str">
        <f>IF(Tasks[[#This Row],[Task]]="","",IFERROR(VLOOKUP(IF(Tasks[[#This Row],[Effort]]="","M",Tasks[[#This Row],[Effort]]),EffortTable,2,FALSE),0))</f>
        <v/>
      </c>
      <c r="N298" t="str">
        <f>IF(Tasks[[#This Row],[Task]]="","",IFERROR(MATCH(Tasks[[#This Row],[Status]],{"Late","Blocked","Due soon"},0),9)*100000+N(Tasks[[#This Row],[Due]]))</f>
        <v/>
      </c>
      <c r="O298" t="str" cm="1">
        <f t="array" aca="1" ref="O2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8" t="str" cm="1">
        <f t="array" ref="P2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8" t="str" cm="1">
        <f t="array" ref="Q2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8" t="str" cm="1">
        <f t="array" ref="R2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299" spans="1:18" x14ac:dyDescent="0.25">
      <c r="A299" s="14" t="str" cm="1">
        <f t="array" ref="A299">IF(Tasks[[#This Row],[Task]]="","","T-"&amp;TEXT(ROW()-ROW(Tasks[#Headers]),"000"))</f>
        <v/>
      </c>
      <c r="B299" s="15"/>
      <c r="C299" s="15"/>
      <c r="D299" s="15"/>
      <c r="E299" s="15"/>
      <c r="F299" s="16"/>
      <c r="G299" s="16"/>
      <c r="H299" s="16"/>
      <c r="I299" s="15"/>
      <c r="J299" s="15"/>
      <c r="K2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2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299" s="17" t="str">
        <f>IF(Tasks[[#This Row],[Task]]="","",IFERROR(VLOOKUP(IF(Tasks[[#This Row],[Effort]]="","M",Tasks[[#This Row],[Effort]]),EffortTable,2,FALSE),0))</f>
        <v/>
      </c>
      <c r="N299" t="str">
        <f>IF(Tasks[[#This Row],[Task]]="","",IFERROR(MATCH(Tasks[[#This Row],[Status]],{"Late","Blocked","Due soon"},0),9)*100000+N(Tasks[[#This Row],[Due]]))</f>
        <v/>
      </c>
      <c r="O299" t="str" cm="1">
        <f t="array" aca="1" ref="O2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299" t="str" cm="1">
        <f t="array" ref="P2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299" t="str" cm="1">
        <f t="array" ref="Q2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299" t="str" cm="1">
        <f t="array" ref="R2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0" spans="1:18" x14ac:dyDescent="0.25">
      <c r="A300" s="14" t="str" cm="1">
        <f t="array" ref="A300">IF(Tasks[[#This Row],[Task]]="","","T-"&amp;TEXT(ROW()-ROW(Tasks[#Headers]),"000"))</f>
        <v/>
      </c>
      <c r="B300" s="15"/>
      <c r="C300" s="15"/>
      <c r="D300" s="15"/>
      <c r="E300" s="15"/>
      <c r="F300" s="16"/>
      <c r="G300" s="16"/>
      <c r="H300" s="16"/>
      <c r="I300" s="15"/>
      <c r="J300" s="15"/>
      <c r="K3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0" s="17" t="str">
        <f>IF(Tasks[[#This Row],[Task]]="","",IFERROR(VLOOKUP(IF(Tasks[[#This Row],[Effort]]="","M",Tasks[[#This Row],[Effort]]),EffortTable,2,FALSE),0))</f>
        <v/>
      </c>
      <c r="N300" t="str">
        <f>IF(Tasks[[#This Row],[Task]]="","",IFERROR(MATCH(Tasks[[#This Row],[Status]],{"Late","Blocked","Due soon"},0),9)*100000+N(Tasks[[#This Row],[Due]]))</f>
        <v/>
      </c>
      <c r="O300" t="str" cm="1">
        <f t="array" aca="1" ref="O3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0" t="str" cm="1">
        <f t="array" ref="P3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0" t="str" cm="1">
        <f t="array" ref="Q3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0" t="str" cm="1">
        <f t="array" ref="R3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1" spans="1:18" x14ac:dyDescent="0.25">
      <c r="A301" s="14" t="str" cm="1">
        <f t="array" ref="A301">IF(Tasks[[#This Row],[Task]]="","","T-"&amp;TEXT(ROW()-ROW(Tasks[#Headers]),"000"))</f>
        <v/>
      </c>
      <c r="B301" s="15"/>
      <c r="C301" s="15"/>
      <c r="D301" s="15"/>
      <c r="E301" s="15"/>
      <c r="F301" s="16"/>
      <c r="G301" s="16"/>
      <c r="H301" s="16"/>
      <c r="I301" s="15"/>
      <c r="J301" s="15"/>
      <c r="K3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1" s="17" t="str">
        <f>IF(Tasks[[#This Row],[Task]]="","",IFERROR(VLOOKUP(IF(Tasks[[#This Row],[Effort]]="","M",Tasks[[#This Row],[Effort]]),EffortTable,2,FALSE),0))</f>
        <v/>
      </c>
      <c r="N301" t="str">
        <f>IF(Tasks[[#This Row],[Task]]="","",IFERROR(MATCH(Tasks[[#This Row],[Status]],{"Late","Blocked","Due soon"},0),9)*100000+N(Tasks[[#This Row],[Due]]))</f>
        <v/>
      </c>
      <c r="O301" t="str" cm="1">
        <f t="array" aca="1" ref="O3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1" t="str" cm="1">
        <f t="array" ref="P3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1" t="str" cm="1">
        <f t="array" ref="Q3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1" t="str" cm="1">
        <f t="array" ref="R3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2" spans="1:18" x14ac:dyDescent="0.25">
      <c r="A302" s="14" t="str" cm="1">
        <f t="array" ref="A302">IF(Tasks[[#This Row],[Task]]="","","T-"&amp;TEXT(ROW()-ROW(Tasks[#Headers]),"000"))</f>
        <v/>
      </c>
      <c r="B302" s="15"/>
      <c r="C302" s="15"/>
      <c r="D302" s="15"/>
      <c r="E302" s="15"/>
      <c r="F302" s="16"/>
      <c r="G302" s="16"/>
      <c r="H302" s="16"/>
      <c r="I302" s="15"/>
      <c r="J302" s="15"/>
      <c r="K3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2" s="17" t="str">
        <f>IF(Tasks[[#This Row],[Task]]="","",IFERROR(VLOOKUP(IF(Tasks[[#This Row],[Effort]]="","M",Tasks[[#This Row],[Effort]]),EffortTable,2,FALSE),0))</f>
        <v/>
      </c>
      <c r="N302" t="str">
        <f>IF(Tasks[[#This Row],[Task]]="","",IFERROR(MATCH(Tasks[[#This Row],[Status]],{"Late","Blocked","Due soon"},0),9)*100000+N(Tasks[[#This Row],[Due]]))</f>
        <v/>
      </c>
      <c r="O302" t="str" cm="1">
        <f t="array" aca="1" ref="O3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2" t="str" cm="1">
        <f t="array" ref="P3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2" t="str" cm="1">
        <f t="array" ref="Q3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2" t="str" cm="1">
        <f t="array" ref="R3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3" spans="1:18" x14ac:dyDescent="0.25">
      <c r="A303" s="14" t="str" cm="1">
        <f t="array" ref="A303">IF(Tasks[[#This Row],[Task]]="","","T-"&amp;TEXT(ROW()-ROW(Tasks[#Headers]),"000"))</f>
        <v/>
      </c>
      <c r="B303" s="15"/>
      <c r="C303" s="15"/>
      <c r="D303" s="15"/>
      <c r="E303" s="15"/>
      <c r="F303" s="16"/>
      <c r="G303" s="16"/>
      <c r="H303" s="16"/>
      <c r="I303" s="15"/>
      <c r="J303" s="15"/>
      <c r="K3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3" s="17" t="str">
        <f>IF(Tasks[[#This Row],[Task]]="","",IFERROR(VLOOKUP(IF(Tasks[[#This Row],[Effort]]="","M",Tasks[[#This Row],[Effort]]),EffortTable,2,FALSE),0))</f>
        <v/>
      </c>
      <c r="N303" t="str">
        <f>IF(Tasks[[#This Row],[Task]]="","",IFERROR(MATCH(Tasks[[#This Row],[Status]],{"Late","Blocked","Due soon"},0),9)*100000+N(Tasks[[#This Row],[Due]]))</f>
        <v/>
      </c>
      <c r="O303" t="str" cm="1">
        <f t="array" aca="1" ref="O3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3" t="str" cm="1">
        <f t="array" ref="P3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3" t="str" cm="1">
        <f t="array" ref="Q3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3" t="str" cm="1">
        <f t="array" ref="R3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4" spans="1:18" x14ac:dyDescent="0.25">
      <c r="A304" s="14" t="str" cm="1">
        <f t="array" ref="A304">IF(Tasks[[#This Row],[Task]]="","","T-"&amp;TEXT(ROW()-ROW(Tasks[#Headers]),"000"))</f>
        <v/>
      </c>
      <c r="B304" s="15"/>
      <c r="C304" s="15"/>
      <c r="D304" s="15"/>
      <c r="E304" s="15"/>
      <c r="F304" s="16"/>
      <c r="G304" s="16"/>
      <c r="H304" s="16"/>
      <c r="I304" s="15"/>
      <c r="J304" s="15"/>
      <c r="K3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4" s="17" t="str">
        <f>IF(Tasks[[#This Row],[Task]]="","",IFERROR(VLOOKUP(IF(Tasks[[#This Row],[Effort]]="","M",Tasks[[#This Row],[Effort]]),EffortTable,2,FALSE),0))</f>
        <v/>
      </c>
      <c r="N304" t="str">
        <f>IF(Tasks[[#This Row],[Task]]="","",IFERROR(MATCH(Tasks[[#This Row],[Status]],{"Late","Blocked","Due soon"},0),9)*100000+N(Tasks[[#This Row],[Due]]))</f>
        <v/>
      </c>
      <c r="O304" t="str" cm="1">
        <f t="array" aca="1" ref="O3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4" t="str" cm="1">
        <f t="array" ref="P3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4" t="str" cm="1">
        <f t="array" ref="Q3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4" t="str" cm="1">
        <f t="array" ref="R3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5" spans="1:18" x14ac:dyDescent="0.25">
      <c r="A305" s="14" t="str" cm="1">
        <f t="array" ref="A305">IF(Tasks[[#This Row],[Task]]="","","T-"&amp;TEXT(ROW()-ROW(Tasks[#Headers]),"000"))</f>
        <v/>
      </c>
      <c r="B305" s="15"/>
      <c r="C305" s="15"/>
      <c r="D305" s="15"/>
      <c r="E305" s="15"/>
      <c r="F305" s="16"/>
      <c r="G305" s="16"/>
      <c r="H305" s="16"/>
      <c r="I305" s="15"/>
      <c r="J305" s="15"/>
      <c r="K3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5" s="17" t="str">
        <f>IF(Tasks[[#This Row],[Task]]="","",IFERROR(VLOOKUP(IF(Tasks[[#This Row],[Effort]]="","M",Tasks[[#This Row],[Effort]]),EffortTable,2,FALSE),0))</f>
        <v/>
      </c>
      <c r="N305" t="str">
        <f>IF(Tasks[[#This Row],[Task]]="","",IFERROR(MATCH(Tasks[[#This Row],[Status]],{"Late","Blocked","Due soon"},0),9)*100000+N(Tasks[[#This Row],[Due]]))</f>
        <v/>
      </c>
      <c r="O305" t="str" cm="1">
        <f t="array" aca="1" ref="O3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5" t="str" cm="1">
        <f t="array" ref="P3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5" t="str" cm="1">
        <f t="array" ref="Q3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5" t="str" cm="1">
        <f t="array" ref="R3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6" spans="1:18" x14ac:dyDescent="0.25">
      <c r="A306" s="14" t="str" cm="1">
        <f t="array" ref="A306">IF(Tasks[[#This Row],[Task]]="","","T-"&amp;TEXT(ROW()-ROW(Tasks[#Headers]),"000"))</f>
        <v/>
      </c>
      <c r="B306" s="15"/>
      <c r="C306" s="15"/>
      <c r="D306" s="15"/>
      <c r="E306" s="15"/>
      <c r="F306" s="16"/>
      <c r="G306" s="16"/>
      <c r="H306" s="16"/>
      <c r="I306" s="15"/>
      <c r="J306" s="15"/>
      <c r="K3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6" s="17" t="str">
        <f>IF(Tasks[[#This Row],[Task]]="","",IFERROR(VLOOKUP(IF(Tasks[[#This Row],[Effort]]="","M",Tasks[[#This Row],[Effort]]),EffortTable,2,FALSE),0))</f>
        <v/>
      </c>
      <c r="N306" t="str">
        <f>IF(Tasks[[#This Row],[Task]]="","",IFERROR(MATCH(Tasks[[#This Row],[Status]],{"Late","Blocked","Due soon"},0),9)*100000+N(Tasks[[#This Row],[Due]]))</f>
        <v/>
      </c>
      <c r="O306" t="str" cm="1">
        <f t="array" aca="1" ref="O3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6" t="str" cm="1">
        <f t="array" ref="P3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6" t="str" cm="1">
        <f t="array" ref="Q3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6" t="str" cm="1">
        <f t="array" ref="R3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7" spans="1:18" x14ac:dyDescent="0.25">
      <c r="A307" s="14" t="str" cm="1">
        <f t="array" ref="A307">IF(Tasks[[#This Row],[Task]]="","","T-"&amp;TEXT(ROW()-ROW(Tasks[#Headers]),"000"))</f>
        <v/>
      </c>
      <c r="B307" s="15"/>
      <c r="C307" s="15"/>
      <c r="D307" s="15"/>
      <c r="E307" s="15"/>
      <c r="F307" s="16"/>
      <c r="G307" s="16"/>
      <c r="H307" s="16"/>
      <c r="I307" s="15"/>
      <c r="J307" s="15"/>
      <c r="K3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7" s="17" t="str">
        <f>IF(Tasks[[#This Row],[Task]]="","",IFERROR(VLOOKUP(IF(Tasks[[#This Row],[Effort]]="","M",Tasks[[#This Row],[Effort]]),EffortTable,2,FALSE),0))</f>
        <v/>
      </c>
      <c r="N307" t="str">
        <f>IF(Tasks[[#This Row],[Task]]="","",IFERROR(MATCH(Tasks[[#This Row],[Status]],{"Late","Blocked","Due soon"},0),9)*100000+N(Tasks[[#This Row],[Due]]))</f>
        <v/>
      </c>
      <c r="O307" t="str" cm="1">
        <f t="array" aca="1" ref="O3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7" t="str" cm="1">
        <f t="array" ref="P3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7" t="str" cm="1">
        <f t="array" ref="Q3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7" t="str" cm="1">
        <f t="array" ref="R3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8" spans="1:18" x14ac:dyDescent="0.25">
      <c r="A308" s="14" t="str" cm="1">
        <f t="array" ref="A308">IF(Tasks[[#This Row],[Task]]="","","T-"&amp;TEXT(ROW()-ROW(Tasks[#Headers]),"000"))</f>
        <v/>
      </c>
      <c r="B308" s="15"/>
      <c r="C308" s="15"/>
      <c r="D308" s="15"/>
      <c r="E308" s="15"/>
      <c r="F308" s="16"/>
      <c r="G308" s="16"/>
      <c r="H308" s="16"/>
      <c r="I308" s="15"/>
      <c r="J308" s="15"/>
      <c r="K3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8" s="17" t="str">
        <f>IF(Tasks[[#This Row],[Task]]="","",IFERROR(VLOOKUP(IF(Tasks[[#This Row],[Effort]]="","M",Tasks[[#This Row],[Effort]]),EffortTable,2,FALSE),0))</f>
        <v/>
      </c>
      <c r="N308" t="str">
        <f>IF(Tasks[[#This Row],[Task]]="","",IFERROR(MATCH(Tasks[[#This Row],[Status]],{"Late","Blocked","Due soon"},0),9)*100000+N(Tasks[[#This Row],[Due]]))</f>
        <v/>
      </c>
      <c r="O308" t="str" cm="1">
        <f t="array" aca="1" ref="O3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8" t="str" cm="1">
        <f t="array" ref="P3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8" t="str" cm="1">
        <f t="array" ref="Q3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8" t="str" cm="1">
        <f t="array" ref="R3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09" spans="1:18" x14ac:dyDescent="0.25">
      <c r="A309" s="14" t="str" cm="1">
        <f t="array" ref="A309">IF(Tasks[[#This Row],[Task]]="","","T-"&amp;TEXT(ROW()-ROW(Tasks[#Headers]),"000"))</f>
        <v/>
      </c>
      <c r="B309" s="15"/>
      <c r="C309" s="15"/>
      <c r="D309" s="15"/>
      <c r="E309" s="15"/>
      <c r="F309" s="16"/>
      <c r="G309" s="16"/>
      <c r="H309" s="16"/>
      <c r="I309" s="15"/>
      <c r="J309" s="15"/>
      <c r="K3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09" s="17" t="str">
        <f>IF(Tasks[[#This Row],[Task]]="","",IFERROR(VLOOKUP(IF(Tasks[[#This Row],[Effort]]="","M",Tasks[[#This Row],[Effort]]),EffortTable,2,FALSE),0))</f>
        <v/>
      </c>
      <c r="N309" t="str">
        <f>IF(Tasks[[#This Row],[Task]]="","",IFERROR(MATCH(Tasks[[#This Row],[Status]],{"Late","Blocked","Due soon"},0),9)*100000+N(Tasks[[#This Row],[Due]]))</f>
        <v/>
      </c>
      <c r="O309" t="str" cm="1">
        <f t="array" aca="1" ref="O3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09" t="str" cm="1">
        <f t="array" ref="P3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09" t="str" cm="1">
        <f t="array" ref="Q3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09" t="str" cm="1">
        <f t="array" ref="R3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0" spans="1:18" x14ac:dyDescent="0.25">
      <c r="A310" s="14" t="str" cm="1">
        <f t="array" ref="A310">IF(Tasks[[#This Row],[Task]]="","","T-"&amp;TEXT(ROW()-ROW(Tasks[#Headers]),"000"))</f>
        <v/>
      </c>
      <c r="B310" s="15"/>
      <c r="C310" s="15"/>
      <c r="D310" s="15"/>
      <c r="E310" s="15"/>
      <c r="F310" s="16"/>
      <c r="G310" s="16"/>
      <c r="H310" s="16"/>
      <c r="I310" s="15"/>
      <c r="J310" s="15"/>
      <c r="K3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0" s="17" t="str">
        <f>IF(Tasks[[#This Row],[Task]]="","",IFERROR(VLOOKUP(IF(Tasks[[#This Row],[Effort]]="","M",Tasks[[#This Row],[Effort]]),EffortTable,2,FALSE),0))</f>
        <v/>
      </c>
      <c r="N310" t="str">
        <f>IF(Tasks[[#This Row],[Task]]="","",IFERROR(MATCH(Tasks[[#This Row],[Status]],{"Late","Blocked","Due soon"},0),9)*100000+N(Tasks[[#This Row],[Due]]))</f>
        <v/>
      </c>
      <c r="O310" t="str" cm="1">
        <f t="array" aca="1" ref="O3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0" t="str" cm="1">
        <f t="array" ref="P3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0" t="str" cm="1">
        <f t="array" ref="Q3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0" t="str" cm="1">
        <f t="array" ref="R3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1" spans="1:18" x14ac:dyDescent="0.25">
      <c r="A311" s="14" t="str" cm="1">
        <f t="array" ref="A311">IF(Tasks[[#This Row],[Task]]="","","T-"&amp;TEXT(ROW()-ROW(Tasks[#Headers]),"000"))</f>
        <v/>
      </c>
      <c r="B311" s="15"/>
      <c r="C311" s="15"/>
      <c r="D311" s="15"/>
      <c r="E311" s="15"/>
      <c r="F311" s="16"/>
      <c r="G311" s="16"/>
      <c r="H311" s="16"/>
      <c r="I311" s="15"/>
      <c r="J311" s="15"/>
      <c r="K3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1" s="17" t="str">
        <f>IF(Tasks[[#This Row],[Task]]="","",IFERROR(VLOOKUP(IF(Tasks[[#This Row],[Effort]]="","M",Tasks[[#This Row],[Effort]]),EffortTable,2,FALSE),0))</f>
        <v/>
      </c>
      <c r="N311" t="str">
        <f>IF(Tasks[[#This Row],[Task]]="","",IFERROR(MATCH(Tasks[[#This Row],[Status]],{"Late","Blocked","Due soon"},0),9)*100000+N(Tasks[[#This Row],[Due]]))</f>
        <v/>
      </c>
      <c r="O311" t="str" cm="1">
        <f t="array" aca="1" ref="O3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1" t="str" cm="1">
        <f t="array" ref="P3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1" t="str" cm="1">
        <f t="array" ref="Q3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1" t="str" cm="1">
        <f t="array" ref="R3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2" spans="1:18" x14ac:dyDescent="0.25">
      <c r="A312" s="14" t="str" cm="1">
        <f t="array" ref="A312">IF(Tasks[[#This Row],[Task]]="","","T-"&amp;TEXT(ROW()-ROW(Tasks[#Headers]),"000"))</f>
        <v/>
      </c>
      <c r="B312" s="15"/>
      <c r="C312" s="15"/>
      <c r="D312" s="15"/>
      <c r="E312" s="15"/>
      <c r="F312" s="16"/>
      <c r="G312" s="16"/>
      <c r="H312" s="16"/>
      <c r="I312" s="15"/>
      <c r="J312" s="15"/>
      <c r="K3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2" s="17" t="str">
        <f>IF(Tasks[[#This Row],[Task]]="","",IFERROR(VLOOKUP(IF(Tasks[[#This Row],[Effort]]="","M",Tasks[[#This Row],[Effort]]),EffortTable,2,FALSE),0))</f>
        <v/>
      </c>
      <c r="N312" t="str">
        <f>IF(Tasks[[#This Row],[Task]]="","",IFERROR(MATCH(Tasks[[#This Row],[Status]],{"Late","Blocked","Due soon"},0),9)*100000+N(Tasks[[#This Row],[Due]]))</f>
        <v/>
      </c>
      <c r="O312" t="str" cm="1">
        <f t="array" aca="1" ref="O3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2" t="str" cm="1">
        <f t="array" ref="P3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2" t="str" cm="1">
        <f t="array" ref="Q3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2" t="str" cm="1">
        <f t="array" ref="R3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3" spans="1:18" x14ac:dyDescent="0.25">
      <c r="A313" s="14" t="str" cm="1">
        <f t="array" ref="A313">IF(Tasks[[#This Row],[Task]]="","","T-"&amp;TEXT(ROW()-ROW(Tasks[#Headers]),"000"))</f>
        <v/>
      </c>
      <c r="B313" s="15"/>
      <c r="C313" s="15"/>
      <c r="D313" s="15"/>
      <c r="E313" s="15"/>
      <c r="F313" s="16"/>
      <c r="G313" s="16"/>
      <c r="H313" s="16"/>
      <c r="I313" s="15"/>
      <c r="J313" s="15"/>
      <c r="K3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3" s="17" t="str">
        <f>IF(Tasks[[#This Row],[Task]]="","",IFERROR(VLOOKUP(IF(Tasks[[#This Row],[Effort]]="","M",Tasks[[#This Row],[Effort]]),EffortTable,2,FALSE),0))</f>
        <v/>
      </c>
      <c r="N313" t="str">
        <f>IF(Tasks[[#This Row],[Task]]="","",IFERROR(MATCH(Tasks[[#This Row],[Status]],{"Late","Blocked","Due soon"},0),9)*100000+N(Tasks[[#This Row],[Due]]))</f>
        <v/>
      </c>
      <c r="O313" t="str" cm="1">
        <f t="array" aca="1" ref="O3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3" t="str" cm="1">
        <f t="array" ref="P3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3" t="str" cm="1">
        <f t="array" ref="Q3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3" t="str" cm="1">
        <f t="array" ref="R3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4" spans="1:18" x14ac:dyDescent="0.25">
      <c r="A314" s="14" t="str" cm="1">
        <f t="array" ref="A314">IF(Tasks[[#This Row],[Task]]="","","T-"&amp;TEXT(ROW()-ROW(Tasks[#Headers]),"000"))</f>
        <v/>
      </c>
      <c r="B314" s="15"/>
      <c r="C314" s="15"/>
      <c r="D314" s="15"/>
      <c r="E314" s="15"/>
      <c r="F314" s="16"/>
      <c r="G314" s="16"/>
      <c r="H314" s="16"/>
      <c r="I314" s="15"/>
      <c r="J314" s="15"/>
      <c r="K3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4" s="17" t="str">
        <f>IF(Tasks[[#This Row],[Task]]="","",IFERROR(VLOOKUP(IF(Tasks[[#This Row],[Effort]]="","M",Tasks[[#This Row],[Effort]]),EffortTable,2,FALSE),0))</f>
        <v/>
      </c>
      <c r="N314" t="str">
        <f>IF(Tasks[[#This Row],[Task]]="","",IFERROR(MATCH(Tasks[[#This Row],[Status]],{"Late","Blocked","Due soon"},0),9)*100000+N(Tasks[[#This Row],[Due]]))</f>
        <v/>
      </c>
      <c r="O314" t="str" cm="1">
        <f t="array" aca="1" ref="O3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4" t="str" cm="1">
        <f t="array" ref="P3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4" t="str" cm="1">
        <f t="array" ref="Q3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4" t="str" cm="1">
        <f t="array" ref="R3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5" spans="1:18" x14ac:dyDescent="0.25">
      <c r="A315" s="14" t="str" cm="1">
        <f t="array" ref="A315">IF(Tasks[[#This Row],[Task]]="","","T-"&amp;TEXT(ROW()-ROW(Tasks[#Headers]),"000"))</f>
        <v/>
      </c>
      <c r="B315" s="15"/>
      <c r="C315" s="15"/>
      <c r="D315" s="15"/>
      <c r="E315" s="15"/>
      <c r="F315" s="16"/>
      <c r="G315" s="16"/>
      <c r="H315" s="16"/>
      <c r="I315" s="15"/>
      <c r="J315" s="15"/>
      <c r="K3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5" s="17" t="str">
        <f>IF(Tasks[[#This Row],[Task]]="","",IFERROR(VLOOKUP(IF(Tasks[[#This Row],[Effort]]="","M",Tasks[[#This Row],[Effort]]),EffortTable,2,FALSE),0))</f>
        <v/>
      </c>
      <c r="N315" t="str">
        <f>IF(Tasks[[#This Row],[Task]]="","",IFERROR(MATCH(Tasks[[#This Row],[Status]],{"Late","Blocked","Due soon"},0),9)*100000+N(Tasks[[#This Row],[Due]]))</f>
        <v/>
      </c>
      <c r="O315" t="str" cm="1">
        <f t="array" aca="1" ref="O3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5" t="str" cm="1">
        <f t="array" ref="P3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5" t="str" cm="1">
        <f t="array" ref="Q3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5" t="str" cm="1">
        <f t="array" ref="R3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6" spans="1:18" x14ac:dyDescent="0.25">
      <c r="A316" s="14" t="str" cm="1">
        <f t="array" ref="A316">IF(Tasks[[#This Row],[Task]]="","","T-"&amp;TEXT(ROW()-ROW(Tasks[#Headers]),"000"))</f>
        <v/>
      </c>
      <c r="B316" s="15"/>
      <c r="C316" s="15"/>
      <c r="D316" s="15"/>
      <c r="E316" s="15"/>
      <c r="F316" s="16"/>
      <c r="G316" s="16"/>
      <c r="H316" s="16"/>
      <c r="I316" s="15"/>
      <c r="J316" s="15"/>
      <c r="K3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6" s="17" t="str">
        <f>IF(Tasks[[#This Row],[Task]]="","",IFERROR(VLOOKUP(IF(Tasks[[#This Row],[Effort]]="","M",Tasks[[#This Row],[Effort]]),EffortTable,2,FALSE),0))</f>
        <v/>
      </c>
      <c r="N316" t="str">
        <f>IF(Tasks[[#This Row],[Task]]="","",IFERROR(MATCH(Tasks[[#This Row],[Status]],{"Late","Blocked","Due soon"},0),9)*100000+N(Tasks[[#This Row],[Due]]))</f>
        <v/>
      </c>
      <c r="O316" t="str" cm="1">
        <f t="array" aca="1" ref="O3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6" t="str" cm="1">
        <f t="array" ref="P3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6" t="str" cm="1">
        <f t="array" ref="Q3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6" t="str" cm="1">
        <f t="array" ref="R3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7" spans="1:18" x14ac:dyDescent="0.25">
      <c r="A317" s="14" t="str" cm="1">
        <f t="array" ref="A317">IF(Tasks[[#This Row],[Task]]="","","T-"&amp;TEXT(ROW()-ROW(Tasks[#Headers]),"000"))</f>
        <v/>
      </c>
      <c r="B317" s="15"/>
      <c r="C317" s="15"/>
      <c r="D317" s="15"/>
      <c r="E317" s="15"/>
      <c r="F317" s="16"/>
      <c r="G317" s="16"/>
      <c r="H317" s="16"/>
      <c r="I317" s="15"/>
      <c r="J317" s="15"/>
      <c r="K3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7" s="17" t="str">
        <f>IF(Tasks[[#This Row],[Task]]="","",IFERROR(VLOOKUP(IF(Tasks[[#This Row],[Effort]]="","M",Tasks[[#This Row],[Effort]]),EffortTable,2,FALSE),0))</f>
        <v/>
      </c>
      <c r="N317" t="str">
        <f>IF(Tasks[[#This Row],[Task]]="","",IFERROR(MATCH(Tasks[[#This Row],[Status]],{"Late","Blocked","Due soon"},0),9)*100000+N(Tasks[[#This Row],[Due]]))</f>
        <v/>
      </c>
      <c r="O317" t="str" cm="1">
        <f t="array" aca="1" ref="O3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7" t="str" cm="1">
        <f t="array" ref="P3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7" t="str" cm="1">
        <f t="array" ref="Q3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7" t="str" cm="1">
        <f t="array" ref="R3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8" spans="1:18" x14ac:dyDescent="0.25">
      <c r="A318" s="14" t="str" cm="1">
        <f t="array" ref="A318">IF(Tasks[[#This Row],[Task]]="","","T-"&amp;TEXT(ROW()-ROW(Tasks[#Headers]),"000"))</f>
        <v/>
      </c>
      <c r="B318" s="15"/>
      <c r="C318" s="15"/>
      <c r="D318" s="15"/>
      <c r="E318" s="15"/>
      <c r="F318" s="16"/>
      <c r="G318" s="16"/>
      <c r="H318" s="16"/>
      <c r="I318" s="15"/>
      <c r="J318" s="15"/>
      <c r="K3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8" s="17" t="str">
        <f>IF(Tasks[[#This Row],[Task]]="","",IFERROR(VLOOKUP(IF(Tasks[[#This Row],[Effort]]="","M",Tasks[[#This Row],[Effort]]),EffortTable,2,FALSE),0))</f>
        <v/>
      </c>
      <c r="N318" t="str">
        <f>IF(Tasks[[#This Row],[Task]]="","",IFERROR(MATCH(Tasks[[#This Row],[Status]],{"Late","Blocked","Due soon"},0),9)*100000+N(Tasks[[#This Row],[Due]]))</f>
        <v/>
      </c>
      <c r="O318" t="str" cm="1">
        <f t="array" aca="1" ref="O3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8" t="str" cm="1">
        <f t="array" ref="P3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8" t="str" cm="1">
        <f t="array" ref="Q3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8" t="str" cm="1">
        <f t="array" ref="R3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19" spans="1:18" x14ac:dyDescent="0.25">
      <c r="A319" s="14" t="str" cm="1">
        <f t="array" ref="A319">IF(Tasks[[#This Row],[Task]]="","","T-"&amp;TEXT(ROW()-ROW(Tasks[#Headers]),"000"))</f>
        <v/>
      </c>
      <c r="B319" s="15"/>
      <c r="C319" s="15"/>
      <c r="D319" s="15"/>
      <c r="E319" s="15"/>
      <c r="F319" s="16"/>
      <c r="G319" s="16"/>
      <c r="H319" s="16"/>
      <c r="I319" s="15"/>
      <c r="J319" s="15"/>
      <c r="K3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19" s="17" t="str">
        <f>IF(Tasks[[#This Row],[Task]]="","",IFERROR(VLOOKUP(IF(Tasks[[#This Row],[Effort]]="","M",Tasks[[#This Row],[Effort]]),EffortTable,2,FALSE),0))</f>
        <v/>
      </c>
      <c r="N319" t="str">
        <f>IF(Tasks[[#This Row],[Task]]="","",IFERROR(MATCH(Tasks[[#This Row],[Status]],{"Late","Blocked","Due soon"},0),9)*100000+N(Tasks[[#This Row],[Due]]))</f>
        <v/>
      </c>
      <c r="O319" t="str" cm="1">
        <f t="array" aca="1" ref="O3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19" t="str" cm="1">
        <f t="array" ref="P3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19" t="str" cm="1">
        <f t="array" ref="Q3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19" t="str" cm="1">
        <f t="array" ref="R3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0" spans="1:18" x14ac:dyDescent="0.25">
      <c r="A320" s="14" t="str" cm="1">
        <f t="array" ref="A320">IF(Tasks[[#This Row],[Task]]="","","T-"&amp;TEXT(ROW()-ROW(Tasks[#Headers]),"000"))</f>
        <v/>
      </c>
      <c r="B320" s="15"/>
      <c r="C320" s="15"/>
      <c r="D320" s="15"/>
      <c r="E320" s="15"/>
      <c r="F320" s="16"/>
      <c r="G320" s="16"/>
      <c r="H320" s="16"/>
      <c r="I320" s="15"/>
      <c r="J320" s="15"/>
      <c r="K3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0" s="17" t="str">
        <f>IF(Tasks[[#This Row],[Task]]="","",IFERROR(VLOOKUP(IF(Tasks[[#This Row],[Effort]]="","M",Tasks[[#This Row],[Effort]]),EffortTable,2,FALSE),0))</f>
        <v/>
      </c>
      <c r="N320" t="str">
        <f>IF(Tasks[[#This Row],[Task]]="","",IFERROR(MATCH(Tasks[[#This Row],[Status]],{"Late","Blocked","Due soon"},0),9)*100000+N(Tasks[[#This Row],[Due]]))</f>
        <v/>
      </c>
      <c r="O320" t="str" cm="1">
        <f t="array" aca="1" ref="O3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0" t="str" cm="1">
        <f t="array" ref="P3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0" t="str" cm="1">
        <f t="array" ref="Q3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0" t="str" cm="1">
        <f t="array" ref="R3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1" spans="1:18" x14ac:dyDescent="0.25">
      <c r="A321" s="14" t="str" cm="1">
        <f t="array" ref="A321">IF(Tasks[[#This Row],[Task]]="","","T-"&amp;TEXT(ROW()-ROW(Tasks[#Headers]),"000"))</f>
        <v/>
      </c>
      <c r="B321" s="15"/>
      <c r="C321" s="15"/>
      <c r="D321" s="15"/>
      <c r="E321" s="15"/>
      <c r="F321" s="16"/>
      <c r="G321" s="16"/>
      <c r="H321" s="16"/>
      <c r="I321" s="15"/>
      <c r="J321" s="15"/>
      <c r="K3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1" s="17" t="str">
        <f>IF(Tasks[[#This Row],[Task]]="","",IFERROR(VLOOKUP(IF(Tasks[[#This Row],[Effort]]="","M",Tasks[[#This Row],[Effort]]),EffortTable,2,FALSE),0))</f>
        <v/>
      </c>
      <c r="N321" t="str">
        <f>IF(Tasks[[#This Row],[Task]]="","",IFERROR(MATCH(Tasks[[#This Row],[Status]],{"Late","Blocked","Due soon"},0),9)*100000+N(Tasks[[#This Row],[Due]]))</f>
        <v/>
      </c>
      <c r="O321" t="str" cm="1">
        <f t="array" aca="1" ref="O3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1" t="str" cm="1">
        <f t="array" ref="P3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1" t="str" cm="1">
        <f t="array" ref="Q3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1" t="str" cm="1">
        <f t="array" ref="R3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2" spans="1:18" x14ac:dyDescent="0.25">
      <c r="A322" s="14" t="str" cm="1">
        <f t="array" ref="A322">IF(Tasks[[#This Row],[Task]]="","","T-"&amp;TEXT(ROW()-ROW(Tasks[#Headers]),"000"))</f>
        <v/>
      </c>
      <c r="B322" s="15"/>
      <c r="C322" s="15"/>
      <c r="D322" s="15"/>
      <c r="E322" s="15"/>
      <c r="F322" s="16"/>
      <c r="G322" s="16"/>
      <c r="H322" s="16"/>
      <c r="I322" s="15"/>
      <c r="J322" s="15"/>
      <c r="K3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2" s="17" t="str">
        <f>IF(Tasks[[#This Row],[Task]]="","",IFERROR(VLOOKUP(IF(Tasks[[#This Row],[Effort]]="","M",Tasks[[#This Row],[Effort]]),EffortTable,2,FALSE),0))</f>
        <v/>
      </c>
      <c r="N322" t="str">
        <f>IF(Tasks[[#This Row],[Task]]="","",IFERROR(MATCH(Tasks[[#This Row],[Status]],{"Late","Blocked","Due soon"},0),9)*100000+N(Tasks[[#This Row],[Due]]))</f>
        <v/>
      </c>
      <c r="O322" t="str" cm="1">
        <f t="array" aca="1" ref="O3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2" t="str" cm="1">
        <f t="array" ref="P3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2" t="str" cm="1">
        <f t="array" ref="Q3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2" t="str" cm="1">
        <f t="array" ref="R3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3" spans="1:18" x14ac:dyDescent="0.25">
      <c r="A323" s="14" t="str" cm="1">
        <f t="array" ref="A323">IF(Tasks[[#This Row],[Task]]="","","T-"&amp;TEXT(ROW()-ROW(Tasks[#Headers]),"000"))</f>
        <v/>
      </c>
      <c r="B323" s="15"/>
      <c r="C323" s="15"/>
      <c r="D323" s="15"/>
      <c r="E323" s="15"/>
      <c r="F323" s="16"/>
      <c r="G323" s="16"/>
      <c r="H323" s="16"/>
      <c r="I323" s="15"/>
      <c r="J323" s="15"/>
      <c r="K3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3" s="17" t="str">
        <f>IF(Tasks[[#This Row],[Task]]="","",IFERROR(VLOOKUP(IF(Tasks[[#This Row],[Effort]]="","M",Tasks[[#This Row],[Effort]]),EffortTable,2,FALSE),0))</f>
        <v/>
      </c>
      <c r="N323" t="str">
        <f>IF(Tasks[[#This Row],[Task]]="","",IFERROR(MATCH(Tasks[[#This Row],[Status]],{"Late","Blocked","Due soon"},0),9)*100000+N(Tasks[[#This Row],[Due]]))</f>
        <v/>
      </c>
      <c r="O323" t="str" cm="1">
        <f t="array" aca="1" ref="O3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3" t="str" cm="1">
        <f t="array" ref="P3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3" t="str" cm="1">
        <f t="array" ref="Q3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3" t="str" cm="1">
        <f t="array" ref="R3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4" spans="1:18" x14ac:dyDescent="0.25">
      <c r="A324" s="14" t="str" cm="1">
        <f t="array" ref="A324">IF(Tasks[[#This Row],[Task]]="","","T-"&amp;TEXT(ROW()-ROW(Tasks[#Headers]),"000"))</f>
        <v/>
      </c>
      <c r="B324" s="15"/>
      <c r="C324" s="15"/>
      <c r="D324" s="15"/>
      <c r="E324" s="15"/>
      <c r="F324" s="16"/>
      <c r="G324" s="16"/>
      <c r="H324" s="16"/>
      <c r="I324" s="15"/>
      <c r="J324" s="15"/>
      <c r="K3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4" s="17" t="str">
        <f>IF(Tasks[[#This Row],[Task]]="","",IFERROR(VLOOKUP(IF(Tasks[[#This Row],[Effort]]="","M",Tasks[[#This Row],[Effort]]),EffortTable,2,FALSE),0))</f>
        <v/>
      </c>
      <c r="N324" t="str">
        <f>IF(Tasks[[#This Row],[Task]]="","",IFERROR(MATCH(Tasks[[#This Row],[Status]],{"Late","Blocked","Due soon"},0),9)*100000+N(Tasks[[#This Row],[Due]]))</f>
        <v/>
      </c>
      <c r="O324" t="str" cm="1">
        <f t="array" aca="1" ref="O3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4" t="str" cm="1">
        <f t="array" ref="P3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4" t="str" cm="1">
        <f t="array" ref="Q3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4" t="str" cm="1">
        <f t="array" ref="R3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5" spans="1:18" x14ac:dyDescent="0.25">
      <c r="A325" s="14" t="str" cm="1">
        <f t="array" ref="A325">IF(Tasks[[#This Row],[Task]]="","","T-"&amp;TEXT(ROW()-ROW(Tasks[#Headers]),"000"))</f>
        <v/>
      </c>
      <c r="B325" s="15"/>
      <c r="C325" s="15"/>
      <c r="D325" s="15"/>
      <c r="E325" s="15"/>
      <c r="F325" s="16"/>
      <c r="G325" s="16"/>
      <c r="H325" s="16"/>
      <c r="I325" s="15"/>
      <c r="J325" s="15"/>
      <c r="K3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5" s="17" t="str">
        <f>IF(Tasks[[#This Row],[Task]]="","",IFERROR(VLOOKUP(IF(Tasks[[#This Row],[Effort]]="","M",Tasks[[#This Row],[Effort]]),EffortTable,2,FALSE),0))</f>
        <v/>
      </c>
      <c r="N325" t="str">
        <f>IF(Tasks[[#This Row],[Task]]="","",IFERROR(MATCH(Tasks[[#This Row],[Status]],{"Late","Blocked","Due soon"},0),9)*100000+N(Tasks[[#This Row],[Due]]))</f>
        <v/>
      </c>
      <c r="O325" t="str" cm="1">
        <f t="array" aca="1" ref="O3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5" t="str" cm="1">
        <f t="array" ref="P3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5" t="str" cm="1">
        <f t="array" ref="Q3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5" t="str" cm="1">
        <f t="array" ref="R3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6" spans="1:18" x14ac:dyDescent="0.25">
      <c r="A326" s="14" t="str" cm="1">
        <f t="array" ref="A326">IF(Tasks[[#This Row],[Task]]="","","T-"&amp;TEXT(ROW()-ROW(Tasks[#Headers]),"000"))</f>
        <v/>
      </c>
      <c r="B326" s="15"/>
      <c r="C326" s="15"/>
      <c r="D326" s="15"/>
      <c r="E326" s="15"/>
      <c r="F326" s="16"/>
      <c r="G326" s="16"/>
      <c r="H326" s="16"/>
      <c r="I326" s="15"/>
      <c r="J326" s="15"/>
      <c r="K3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6" s="17" t="str">
        <f>IF(Tasks[[#This Row],[Task]]="","",IFERROR(VLOOKUP(IF(Tasks[[#This Row],[Effort]]="","M",Tasks[[#This Row],[Effort]]),EffortTable,2,FALSE),0))</f>
        <v/>
      </c>
      <c r="N326" t="str">
        <f>IF(Tasks[[#This Row],[Task]]="","",IFERROR(MATCH(Tasks[[#This Row],[Status]],{"Late","Blocked","Due soon"},0),9)*100000+N(Tasks[[#This Row],[Due]]))</f>
        <v/>
      </c>
      <c r="O326" t="str" cm="1">
        <f t="array" aca="1" ref="O3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6" t="str" cm="1">
        <f t="array" ref="P3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6" t="str" cm="1">
        <f t="array" ref="Q3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6" t="str" cm="1">
        <f t="array" ref="R3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7" spans="1:18" x14ac:dyDescent="0.25">
      <c r="A327" s="14" t="str" cm="1">
        <f t="array" ref="A327">IF(Tasks[[#This Row],[Task]]="","","T-"&amp;TEXT(ROW()-ROW(Tasks[#Headers]),"000"))</f>
        <v/>
      </c>
      <c r="B327" s="15"/>
      <c r="C327" s="15"/>
      <c r="D327" s="15"/>
      <c r="E327" s="15"/>
      <c r="F327" s="16"/>
      <c r="G327" s="16"/>
      <c r="H327" s="16"/>
      <c r="I327" s="15"/>
      <c r="J327" s="15"/>
      <c r="K3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7" s="17" t="str">
        <f>IF(Tasks[[#This Row],[Task]]="","",IFERROR(VLOOKUP(IF(Tasks[[#This Row],[Effort]]="","M",Tasks[[#This Row],[Effort]]),EffortTable,2,FALSE),0))</f>
        <v/>
      </c>
      <c r="N327" t="str">
        <f>IF(Tasks[[#This Row],[Task]]="","",IFERROR(MATCH(Tasks[[#This Row],[Status]],{"Late","Blocked","Due soon"},0),9)*100000+N(Tasks[[#This Row],[Due]]))</f>
        <v/>
      </c>
      <c r="O327" t="str" cm="1">
        <f t="array" aca="1" ref="O3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7" t="str" cm="1">
        <f t="array" ref="P3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7" t="str" cm="1">
        <f t="array" ref="Q3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7" t="str" cm="1">
        <f t="array" ref="R3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8" spans="1:18" x14ac:dyDescent="0.25">
      <c r="A328" s="14" t="str" cm="1">
        <f t="array" ref="A328">IF(Tasks[[#This Row],[Task]]="","","T-"&amp;TEXT(ROW()-ROW(Tasks[#Headers]),"000"))</f>
        <v/>
      </c>
      <c r="B328" s="15"/>
      <c r="C328" s="15"/>
      <c r="D328" s="15"/>
      <c r="E328" s="15"/>
      <c r="F328" s="16"/>
      <c r="G328" s="16"/>
      <c r="H328" s="16"/>
      <c r="I328" s="15"/>
      <c r="J328" s="15"/>
      <c r="K3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8" s="17" t="str">
        <f>IF(Tasks[[#This Row],[Task]]="","",IFERROR(VLOOKUP(IF(Tasks[[#This Row],[Effort]]="","M",Tasks[[#This Row],[Effort]]),EffortTable,2,FALSE),0))</f>
        <v/>
      </c>
      <c r="N328" t="str">
        <f>IF(Tasks[[#This Row],[Task]]="","",IFERROR(MATCH(Tasks[[#This Row],[Status]],{"Late","Blocked","Due soon"},0),9)*100000+N(Tasks[[#This Row],[Due]]))</f>
        <v/>
      </c>
      <c r="O328" t="str" cm="1">
        <f t="array" aca="1" ref="O3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8" t="str" cm="1">
        <f t="array" ref="P3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8" t="str" cm="1">
        <f t="array" ref="Q3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8" t="str" cm="1">
        <f t="array" ref="R3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29" spans="1:18" x14ac:dyDescent="0.25">
      <c r="A329" s="14" t="str" cm="1">
        <f t="array" ref="A329">IF(Tasks[[#This Row],[Task]]="","","T-"&amp;TEXT(ROW()-ROW(Tasks[#Headers]),"000"))</f>
        <v/>
      </c>
      <c r="B329" s="15"/>
      <c r="C329" s="15"/>
      <c r="D329" s="15"/>
      <c r="E329" s="15"/>
      <c r="F329" s="16"/>
      <c r="G329" s="16"/>
      <c r="H329" s="16"/>
      <c r="I329" s="15"/>
      <c r="J329" s="15"/>
      <c r="K3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29" s="17" t="str">
        <f>IF(Tasks[[#This Row],[Task]]="","",IFERROR(VLOOKUP(IF(Tasks[[#This Row],[Effort]]="","M",Tasks[[#This Row],[Effort]]),EffortTable,2,FALSE),0))</f>
        <v/>
      </c>
      <c r="N329" t="str">
        <f>IF(Tasks[[#This Row],[Task]]="","",IFERROR(MATCH(Tasks[[#This Row],[Status]],{"Late","Blocked","Due soon"},0),9)*100000+N(Tasks[[#This Row],[Due]]))</f>
        <v/>
      </c>
      <c r="O329" t="str" cm="1">
        <f t="array" aca="1" ref="O3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29" t="str" cm="1">
        <f t="array" ref="P3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29" t="str" cm="1">
        <f t="array" ref="Q3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29" t="str" cm="1">
        <f t="array" ref="R3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0" spans="1:18" x14ac:dyDescent="0.25">
      <c r="A330" s="14" t="str" cm="1">
        <f t="array" ref="A330">IF(Tasks[[#This Row],[Task]]="","","T-"&amp;TEXT(ROW()-ROW(Tasks[#Headers]),"000"))</f>
        <v/>
      </c>
      <c r="B330" s="15"/>
      <c r="C330" s="15"/>
      <c r="D330" s="15"/>
      <c r="E330" s="15"/>
      <c r="F330" s="16"/>
      <c r="G330" s="16"/>
      <c r="H330" s="16"/>
      <c r="I330" s="15"/>
      <c r="J330" s="15"/>
      <c r="K3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0" s="17" t="str">
        <f>IF(Tasks[[#This Row],[Task]]="","",IFERROR(VLOOKUP(IF(Tasks[[#This Row],[Effort]]="","M",Tasks[[#This Row],[Effort]]),EffortTable,2,FALSE),0))</f>
        <v/>
      </c>
      <c r="N330" t="str">
        <f>IF(Tasks[[#This Row],[Task]]="","",IFERROR(MATCH(Tasks[[#This Row],[Status]],{"Late","Blocked","Due soon"},0),9)*100000+N(Tasks[[#This Row],[Due]]))</f>
        <v/>
      </c>
      <c r="O330" t="str" cm="1">
        <f t="array" aca="1" ref="O3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0" t="str" cm="1">
        <f t="array" ref="P3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0" t="str" cm="1">
        <f t="array" ref="Q3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0" t="str" cm="1">
        <f t="array" ref="R3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1" spans="1:18" x14ac:dyDescent="0.25">
      <c r="A331" s="14" t="str" cm="1">
        <f t="array" ref="A331">IF(Tasks[[#This Row],[Task]]="","","T-"&amp;TEXT(ROW()-ROW(Tasks[#Headers]),"000"))</f>
        <v/>
      </c>
      <c r="B331" s="15"/>
      <c r="C331" s="15"/>
      <c r="D331" s="15"/>
      <c r="E331" s="15"/>
      <c r="F331" s="16"/>
      <c r="G331" s="16"/>
      <c r="H331" s="16"/>
      <c r="I331" s="15"/>
      <c r="J331" s="15"/>
      <c r="K3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1" s="17" t="str">
        <f>IF(Tasks[[#This Row],[Task]]="","",IFERROR(VLOOKUP(IF(Tasks[[#This Row],[Effort]]="","M",Tasks[[#This Row],[Effort]]),EffortTable,2,FALSE),0))</f>
        <v/>
      </c>
      <c r="N331" t="str">
        <f>IF(Tasks[[#This Row],[Task]]="","",IFERROR(MATCH(Tasks[[#This Row],[Status]],{"Late","Blocked","Due soon"},0),9)*100000+N(Tasks[[#This Row],[Due]]))</f>
        <v/>
      </c>
      <c r="O331" t="str" cm="1">
        <f t="array" aca="1" ref="O3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1" t="str" cm="1">
        <f t="array" ref="P3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1" t="str" cm="1">
        <f t="array" ref="Q3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1" t="str" cm="1">
        <f t="array" ref="R3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2" spans="1:18" x14ac:dyDescent="0.25">
      <c r="A332" s="14" t="str" cm="1">
        <f t="array" ref="A332">IF(Tasks[[#This Row],[Task]]="","","T-"&amp;TEXT(ROW()-ROW(Tasks[#Headers]),"000"))</f>
        <v/>
      </c>
      <c r="B332" s="15"/>
      <c r="C332" s="15"/>
      <c r="D332" s="15"/>
      <c r="E332" s="15"/>
      <c r="F332" s="16"/>
      <c r="G332" s="16"/>
      <c r="H332" s="16"/>
      <c r="I332" s="15"/>
      <c r="J332" s="15"/>
      <c r="K3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2" s="17" t="str">
        <f>IF(Tasks[[#This Row],[Task]]="","",IFERROR(VLOOKUP(IF(Tasks[[#This Row],[Effort]]="","M",Tasks[[#This Row],[Effort]]),EffortTable,2,FALSE),0))</f>
        <v/>
      </c>
      <c r="N332" t="str">
        <f>IF(Tasks[[#This Row],[Task]]="","",IFERROR(MATCH(Tasks[[#This Row],[Status]],{"Late","Blocked","Due soon"},0),9)*100000+N(Tasks[[#This Row],[Due]]))</f>
        <v/>
      </c>
      <c r="O332" t="str" cm="1">
        <f t="array" aca="1" ref="O3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2" t="str" cm="1">
        <f t="array" ref="P3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2" t="str" cm="1">
        <f t="array" ref="Q3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2" t="str" cm="1">
        <f t="array" ref="R3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3" spans="1:18" x14ac:dyDescent="0.25">
      <c r="A333" s="14" t="str" cm="1">
        <f t="array" ref="A333">IF(Tasks[[#This Row],[Task]]="","","T-"&amp;TEXT(ROW()-ROW(Tasks[#Headers]),"000"))</f>
        <v/>
      </c>
      <c r="B333" s="15"/>
      <c r="C333" s="15"/>
      <c r="D333" s="15"/>
      <c r="E333" s="15"/>
      <c r="F333" s="16"/>
      <c r="G333" s="16"/>
      <c r="H333" s="16"/>
      <c r="I333" s="15"/>
      <c r="J333" s="15"/>
      <c r="K3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3" s="17" t="str">
        <f>IF(Tasks[[#This Row],[Task]]="","",IFERROR(VLOOKUP(IF(Tasks[[#This Row],[Effort]]="","M",Tasks[[#This Row],[Effort]]),EffortTable,2,FALSE),0))</f>
        <v/>
      </c>
      <c r="N333" t="str">
        <f>IF(Tasks[[#This Row],[Task]]="","",IFERROR(MATCH(Tasks[[#This Row],[Status]],{"Late","Blocked","Due soon"},0),9)*100000+N(Tasks[[#This Row],[Due]]))</f>
        <v/>
      </c>
      <c r="O333" t="str" cm="1">
        <f t="array" aca="1" ref="O3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3" t="str" cm="1">
        <f t="array" ref="P3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3" t="str" cm="1">
        <f t="array" ref="Q3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3" t="str" cm="1">
        <f t="array" ref="R3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4" spans="1:18" x14ac:dyDescent="0.25">
      <c r="A334" s="14" t="str" cm="1">
        <f t="array" ref="A334">IF(Tasks[[#This Row],[Task]]="","","T-"&amp;TEXT(ROW()-ROW(Tasks[#Headers]),"000"))</f>
        <v/>
      </c>
      <c r="B334" s="15"/>
      <c r="C334" s="15"/>
      <c r="D334" s="15"/>
      <c r="E334" s="15"/>
      <c r="F334" s="16"/>
      <c r="G334" s="16"/>
      <c r="H334" s="16"/>
      <c r="I334" s="15"/>
      <c r="J334" s="15"/>
      <c r="K3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4" s="17" t="str">
        <f>IF(Tasks[[#This Row],[Task]]="","",IFERROR(VLOOKUP(IF(Tasks[[#This Row],[Effort]]="","M",Tasks[[#This Row],[Effort]]),EffortTable,2,FALSE),0))</f>
        <v/>
      </c>
      <c r="N334" t="str">
        <f>IF(Tasks[[#This Row],[Task]]="","",IFERROR(MATCH(Tasks[[#This Row],[Status]],{"Late","Blocked","Due soon"},0),9)*100000+N(Tasks[[#This Row],[Due]]))</f>
        <v/>
      </c>
      <c r="O334" t="str" cm="1">
        <f t="array" aca="1" ref="O3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4" t="str" cm="1">
        <f t="array" ref="P3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4" t="str" cm="1">
        <f t="array" ref="Q3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4" t="str" cm="1">
        <f t="array" ref="R3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5" spans="1:18" x14ac:dyDescent="0.25">
      <c r="A335" s="14" t="str" cm="1">
        <f t="array" ref="A335">IF(Tasks[[#This Row],[Task]]="","","T-"&amp;TEXT(ROW()-ROW(Tasks[#Headers]),"000"))</f>
        <v/>
      </c>
      <c r="B335" s="15"/>
      <c r="C335" s="15"/>
      <c r="D335" s="15"/>
      <c r="E335" s="15"/>
      <c r="F335" s="16"/>
      <c r="G335" s="16"/>
      <c r="H335" s="16"/>
      <c r="I335" s="15"/>
      <c r="J335" s="15"/>
      <c r="K3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5" s="17" t="str">
        <f>IF(Tasks[[#This Row],[Task]]="","",IFERROR(VLOOKUP(IF(Tasks[[#This Row],[Effort]]="","M",Tasks[[#This Row],[Effort]]),EffortTable,2,FALSE),0))</f>
        <v/>
      </c>
      <c r="N335" t="str">
        <f>IF(Tasks[[#This Row],[Task]]="","",IFERROR(MATCH(Tasks[[#This Row],[Status]],{"Late","Blocked","Due soon"},0),9)*100000+N(Tasks[[#This Row],[Due]]))</f>
        <v/>
      </c>
      <c r="O335" t="str" cm="1">
        <f t="array" aca="1" ref="O3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5" t="str" cm="1">
        <f t="array" ref="P3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5" t="str" cm="1">
        <f t="array" ref="Q3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5" t="str" cm="1">
        <f t="array" ref="R3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6" spans="1:18" x14ac:dyDescent="0.25">
      <c r="A336" s="14" t="str" cm="1">
        <f t="array" ref="A336">IF(Tasks[[#This Row],[Task]]="","","T-"&amp;TEXT(ROW()-ROW(Tasks[#Headers]),"000"))</f>
        <v/>
      </c>
      <c r="B336" s="15"/>
      <c r="C336" s="15"/>
      <c r="D336" s="15"/>
      <c r="E336" s="15"/>
      <c r="F336" s="16"/>
      <c r="G336" s="16"/>
      <c r="H336" s="16"/>
      <c r="I336" s="15"/>
      <c r="J336" s="15"/>
      <c r="K3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6" s="17" t="str">
        <f>IF(Tasks[[#This Row],[Task]]="","",IFERROR(VLOOKUP(IF(Tasks[[#This Row],[Effort]]="","M",Tasks[[#This Row],[Effort]]),EffortTable,2,FALSE),0))</f>
        <v/>
      </c>
      <c r="N336" t="str">
        <f>IF(Tasks[[#This Row],[Task]]="","",IFERROR(MATCH(Tasks[[#This Row],[Status]],{"Late","Blocked","Due soon"},0),9)*100000+N(Tasks[[#This Row],[Due]]))</f>
        <v/>
      </c>
      <c r="O336" t="str" cm="1">
        <f t="array" aca="1" ref="O3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6" t="str" cm="1">
        <f t="array" ref="P3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6" t="str" cm="1">
        <f t="array" ref="Q3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6" t="str" cm="1">
        <f t="array" ref="R3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7" spans="1:18" x14ac:dyDescent="0.25">
      <c r="A337" s="14" t="str" cm="1">
        <f t="array" ref="A337">IF(Tasks[[#This Row],[Task]]="","","T-"&amp;TEXT(ROW()-ROW(Tasks[#Headers]),"000"))</f>
        <v/>
      </c>
      <c r="B337" s="15"/>
      <c r="C337" s="15"/>
      <c r="D337" s="15"/>
      <c r="E337" s="15"/>
      <c r="F337" s="16"/>
      <c r="G337" s="16"/>
      <c r="H337" s="16"/>
      <c r="I337" s="15"/>
      <c r="J337" s="15"/>
      <c r="K3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7" s="17" t="str">
        <f>IF(Tasks[[#This Row],[Task]]="","",IFERROR(VLOOKUP(IF(Tasks[[#This Row],[Effort]]="","M",Tasks[[#This Row],[Effort]]),EffortTable,2,FALSE),0))</f>
        <v/>
      </c>
      <c r="N337" t="str">
        <f>IF(Tasks[[#This Row],[Task]]="","",IFERROR(MATCH(Tasks[[#This Row],[Status]],{"Late","Blocked","Due soon"},0),9)*100000+N(Tasks[[#This Row],[Due]]))</f>
        <v/>
      </c>
      <c r="O337" t="str" cm="1">
        <f t="array" aca="1" ref="O3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7" t="str" cm="1">
        <f t="array" ref="P3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7" t="str" cm="1">
        <f t="array" ref="Q3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7" t="str" cm="1">
        <f t="array" ref="R3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8" spans="1:18" x14ac:dyDescent="0.25">
      <c r="A338" s="14" t="str" cm="1">
        <f t="array" ref="A338">IF(Tasks[[#This Row],[Task]]="","","T-"&amp;TEXT(ROW()-ROW(Tasks[#Headers]),"000"))</f>
        <v/>
      </c>
      <c r="B338" s="15"/>
      <c r="C338" s="15"/>
      <c r="D338" s="15"/>
      <c r="E338" s="15"/>
      <c r="F338" s="16"/>
      <c r="G338" s="16"/>
      <c r="H338" s="16"/>
      <c r="I338" s="15"/>
      <c r="J338" s="15"/>
      <c r="K3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8" s="17" t="str">
        <f>IF(Tasks[[#This Row],[Task]]="","",IFERROR(VLOOKUP(IF(Tasks[[#This Row],[Effort]]="","M",Tasks[[#This Row],[Effort]]),EffortTable,2,FALSE),0))</f>
        <v/>
      </c>
      <c r="N338" t="str">
        <f>IF(Tasks[[#This Row],[Task]]="","",IFERROR(MATCH(Tasks[[#This Row],[Status]],{"Late","Blocked","Due soon"},0),9)*100000+N(Tasks[[#This Row],[Due]]))</f>
        <v/>
      </c>
      <c r="O338" t="str" cm="1">
        <f t="array" aca="1" ref="O3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8" t="str" cm="1">
        <f t="array" ref="P3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8" t="str" cm="1">
        <f t="array" ref="Q3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8" t="str" cm="1">
        <f t="array" ref="R3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39" spans="1:18" x14ac:dyDescent="0.25">
      <c r="A339" s="14" t="str" cm="1">
        <f t="array" ref="A339">IF(Tasks[[#This Row],[Task]]="","","T-"&amp;TEXT(ROW()-ROW(Tasks[#Headers]),"000"))</f>
        <v/>
      </c>
      <c r="B339" s="15"/>
      <c r="C339" s="15"/>
      <c r="D339" s="15"/>
      <c r="E339" s="15"/>
      <c r="F339" s="16"/>
      <c r="G339" s="16"/>
      <c r="H339" s="16"/>
      <c r="I339" s="15"/>
      <c r="J339" s="15"/>
      <c r="K3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39" s="17" t="str">
        <f>IF(Tasks[[#This Row],[Task]]="","",IFERROR(VLOOKUP(IF(Tasks[[#This Row],[Effort]]="","M",Tasks[[#This Row],[Effort]]),EffortTable,2,FALSE),0))</f>
        <v/>
      </c>
      <c r="N339" t="str">
        <f>IF(Tasks[[#This Row],[Task]]="","",IFERROR(MATCH(Tasks[[#This Row],[Status]],{"Late","Blocked","Due soon"},0),9)*100000+N(Tasks[[#This Row],[Due]]))</f>
        <v/>
      </c>
      <c r="O339" t="str" cm="1">
        <f t="array" aca="1" ref="O3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39" t="str" cm="1">
        <f t="array" ref="P3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39" t="str" cm="1">
        <f t="array" ref="Q3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39" t="str" cm="1">
        <f t="array" ref="R3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0" spans="1:18" x14ac:dyDescent="0.25">
      <c r="A340" s="14" t="str" cm="1">
        <f t="array" ref="A340">IF(Tasks[[#This Row],[Task]]="","","T-"&amp;TEXT(ROW()-ROW(Tasks[#Headers]),"000"))</f>
        <v/>
      </c>
      <c r="B340" s="15"/>
      <c r="C340" s="15"/>
      <c r="D340" s="15"/>
      <c r="E340" s="15"/>
      <c r="F340" s="16"/>
      <c r="G340" s="16"/>
      <c r="H340" s="16"/>
      <c r="I340" s="15"/>
      <c r="J340" s="15"/>
      <c r="K3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0" s="17" t="str">
        <f>IF(Tasks[[#This Row],[Task]]="","",IFERROR(VLOOKUP(IF(Tasks[[#This Row],[Effort]]="","M",Tasks[[#This Row],[Effort]]),EffortTable,2,FALSE),0))</f>
        <v/>
      </c>
      <c r="N340" t="str">
        <f>IF(Tasks[[#This Row],[Task]]="","",IFERROR(MATCH(Tasks[[#This Row],[Status]],{"Late","Blocked","Due soon"},0),9)*100000+N(Tasks[[#This Row],[Due]]))</f>
        <v/>
      </c>
      <c r="O340" t="str" cm="1">
        <f t="array" aca="1" ref="O3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0" t="str" cm="1">
        <f t="array" ref="P3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0" t="str" cm="1">
        <f t="array" ref="Q3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0" t="str" cm="1">
        <f t="array" ref="R3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1" spans="1:18" x14ac:dyDescent="0.25">
      <c r="A341" s="14" t="str" cm="1">
        <f t="array" ref="A341">IF(Tasks[[#This Row],[Task]]="","","T-"&amp;TEXT(ROW()-ROW(Tasks[#Headers]),"000"))</f>
        <v/>
      </c>
      <c r="B341" s="15"/>
      <c r="C341" s="15"/>
      <c r="D341" s="15"/>
      <c r="E341" s="15"/>
      <c r="F341" s="16"/>
      <c r="G341" s="16"/>
      <c r="H341" s="16"/>
      <c r="I341" s="15"/>
      <c r="J341" s="15"/>
      <c r="K3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1" s="17" t="str">
        <f>IF(Tasks[[#This Row],[Task]]="","",IFERROR(VLOOKUP(IF(Tasks[[#This Row],[Effort]]="","M",Tasks[[#This Row],[Effort]]),EffortTable,2,FALSE),0))</f>
        <v/>
      </c>
      <c r="N341" t="str">
        <f>IF(Tasks[[#This Row],[Task]]="","",IFERROR(MATCH(Tasks[[#This Row],[Status]],{"Late","Blocked","Due soon"},0),9)*100000+N(Tasks[[#This Row],[Due]]))</f>
        <v/>
      </c>
      <c r="O341" t="str" cm="1">
        <f t="array" aca="1" ref="O3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1" t="str" cm="1">
        <f t="array" ref="P3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1" t="str" cm="1">
        <f t="array" ref="Q3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1" t="str" cm="1">
        <f t="array" ref="R3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2" spans="1:18" x14ac:dyDescent="0.25">
      <c r="A342" s="14" t="str" cm="1">
        <f t="array" ref="A342">IF(Tasks[[#This Row],[Task]]="","","T-"&amp;TEXT(ROW()-ROW(Tasks[#Headers]),"000"))</f>
        <v/>
      </c>
      <c r="B342" s="15"/>
      <c r="C342" s="15"/>
      <c r="D342" s="15"/>
      <c r="E342" s="15"/>
      <c r="F342" s="16"/>
      <c r="G342" s="16"/>
      <c r="H342" s="16"/>
      <c r="I342" s="15"/>
      <c r="J342" s="15"/>
      <c r="K3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2" s="17" t="str">
        <f>IF(Tasks[[#This Row],[Task]]="","",IFERROR(VLOOKUP(IF(Tasks[[#This Row],[Effort]]="","M",Tasks[[#This Row],[Effort]]),EffortTable,2,FALSE),0))</f>
        <v/>
      </c>
      <c r="N342" t="str">
        <f>IF(Tasks[[#This Row],[Task]]="","",IFERROR(MATCH(Tasks[[#This Row],[Status]],{"Late","Blocked","Due soon"},0),9)*100000+N(Tasks[[#This Row],[Due]]))</f>
        <v/>
      </c>
      <c r="O342" t="str" cm="1">
        <f t="array" aca="1" ref="O3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2" t="str" cm="1">
        <f t="array" ref="P3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2" t="str" cm="1">
        <f t="array" ref="Q3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2" t="str" cm="1">
        <f t="array" ref="R3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3" spans="1:18" x14ac:dyDescent="0.25">
      <c r="A343" s="14" t="str" cm="1">
        <f t="array" ref="A343">IF(Tasks[[#This Row],[Task]]="","","T-"&amp;TEXT(ROW()-ROW(Tasks[#Headers]),"000"))</f>
        <v/>
      </c>
      <c r="B343" s="15"/>
      <c r="C343" s="15"/>
      <c r="D343" s="15"/>
      <c r="E343" s="15"/>
      <c r="F343" s="16"/>
      <c r="G343" s="16"/>
      <c r="H343" s="16"/>
      <c r="I343" s="15"/>
      <c r="J343" s="15"/>
      <c r="K3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3" s="17" t="str">
        <f>IF(Tasks[[#This Row],[Task]]="","",IFERROR(VLOOKUP(IF(Tasks[[#This Row],[Effort]]="","M",Tasks[[#This Row],[Effort]]),EffortTable,2,FALSE),0))</f>
        <v/>
      </c>
      <c r="N343" t="str">
        <f>IF(Tasks[[#This Row],[Task]]="","",IFERROR(MATCH(Tasks[[#This Row],[Status]],{"Late","Blocked","Due soon"},0),9)*100000+N(Tasks[[#This Row],[Due]]))</f>
        <v/>
      </c>
      <c r="O343" t="str" cm="1">
        <f t="array" aca="1" ref="O3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3" t="str" cm="1">
        <f t="array" ref="P3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3" t="str" cm="1">
        <f t="array" ref="Q3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3" t="str" cm="1">
        <f t="array" ref="R3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4" spans="1:18" x14ac:dyDescent="0.25">
      <c r="A344" s="14" t="str" cm="1">
        <f t="array" ref="A344">IF(Tasks[[#This Row],[Task]]="","","T-"&amp;TEXT(ROW()-ROW(Tasks[#Headers]),"000"))</f>
        <v/>
      </c>
      <c r="B344" s="15"/>
      <c r="C344" s="15"/>
      <c r="D344" s="15"/>
      <c r="E344" s="15"/>
      <c r="F344" s="16"/>
      <c r="G344" s="16"/>
      <c r="H344" s="16"/>
      <c r="I344" s="15"/>
      <c r="J344" s="15"/>
      <c r="K3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4" s="17" t="str">
        <f>IF(Tasks[[#This Row],[Task]]="","",IFERROR(VLOOKUP(IF(Tasks[[#This Row],[Effort]]="","M",Tasks[[#This Row],[Effort]]),EffortTable,2,FALSE),0))</f>
        <v/>
      </c>
      <c r="N344" t="str">
        <f>IF(Tasks[[#This Row],[Task]]="","",IFERROR(MATCH(Tasks[[#This Row],[Status]],{"Late","Blocked","Due soon"},0),9)*100000+N(Tasks[[#This Row],[Due]]))</f>
        <v/>
      </c>
      <c r="O344" t="str" cm="1">
        <f t="array" aca="1" ref="O3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4" t="str" cm="1">
        <f t="array" ref="P3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4" t="str" cm="1">
        <f t="array" ref="Q3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4" t="str" cm="1">
        <f t="array" ref="R3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5" spans="1:18" x14ac:dyDescent="0.25">
      <c r="A345" s="14" t="str" cm="1">
        <f t="array" ref="A345">IF(Tasks[[#This Row],[Task]]="","","T-"&amp;TEXT(ROW()-ROW(Tasks[#Headers]),"000"))</f>
        <v/>
      </c>
      <c r="B345" s="15"/>
      <c r="C345" s="15"/>
      <c r="D345" s="15"/>
      <c r="E345" s="15"/>
      <c r="F345" s="16"/>
      <c r="G345" s="16"/>
      <c r="H345" s="16"/>
      <c r="I345" s="15"/>
      <c r="J345" s="15"/>
      <c r="K3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5" s="17" t="str">
        <f>IF(Tasks[[#This Row],[Task]]="","",IFERROR(VLOOKUP(IF(Tasks[[#This Row],[Effort]]="","M",Tasks[[#This Row],[Effort]]),EffortTable,2,FALSE),0))</f>
        <v/>
      </c>
      <c r="N345" t="str">
        <f>IF(Tasks[[#This Row],[Task]]="","",IFERROR(MATCH(Tasks[[#This Row],[Status]],{"Late","Blocked","Due soon"},0),9)*100000+N(Tasks[[#This Row],[Due]]))</f>
        <v/>
      </c>
      <c r="O345" t="str" cm="1">
        <f t="array" aca="1" ref="O3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5" t="str" cm="1">
        <f t="array" ref="P3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5" t="str" cm="1">
        <f t="array" ref="Q3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5" t="str" cm="1">
        <f t="array" ref="R3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6" spans="1:18" x14ac:dyDescent="0.25">
      <c r="A346" s="14" t="str" cm="1">
        <f t="array" ref="A346">IF(Tasks[[#This Row],[Task]]="","","T-"&amp;TEXT(ROW()-ROW(Tasks[#Headers]),"000"))</f>
        <v/>
      </c>
      <c r="B346" s="15"/>
      <c r="C346" s="15"/>
      <c r="D346" s="15"/>
      <c r="E346" s="15"/>
      <c r="F346" s="16"/>
      <c r="G346" s="16"/>
      <c r="H346" s="16"/>
      <c r="I346" s="15"/>
      <c r="J346" s="15"/>
      <c r="K3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6" s="17" t="str">
        <f>IF(Tasks[[#This Row],[Task]]="","",IFERROR(VLOOKUP(IF(Tasks[[#This Row],[Effort]]="","M",Tasks[[#This Row],[Effort]]),EffortTable,2,FALSE),0))</f>
        <v/>
      </c>
      <c r="N346" t="str">
        <f>IF(Tasks[[#This Row],[Task]]="","",IFERROR(MATCH(Tasks[[#This Row],[Status]],{"Late","Blocked","Due soon"},0),9)*100000+N(Tasks[[#This Row],[Due]]))</f>
        <v/>
      </c>
      <c r="O346" t="str" cm="1">
        <f t="array" aca="1" ref="O3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6" t="str" cm="1">
        <f t="array" ref="P3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6" t="str" cm="1">
        <f t="array" ref="Q3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6" t="str" cm="1">
        <f t="array" ref="R3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7" spans="1:18" x14ac:dyDescent="0.25">
      <c r="A347" s="14" t="str" cm="1">
        <f t="array" ref="A347">IF(Tasks[[#This Row],[Task]]="","","T-"&amp;TEXT(ROW()-ROW(Tasks[#Headers]),"000"))</f>
        <v/>
      </c>
      <c r="B347" s="15"/>
      <c r="C347" s="15"/>
      <c r="D347" s="15"/>
      <c r="E347" s="15"/>
      <c r="F347" s="16"/>
      <c r="G347" s="16"/>
      <c r="H347" s="16"/>
      <c r="I347" s="15"/>
      <c r="J347" s="15"/>
      <c r="K3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7" s="17" t="str">
        <f>IF(Tasks[[#This Row],[Task]]="","",IFERROR(VLOOKUP(IF(Tasks[[#This Row],[Effort]]="","M",Tasks[[#This Row],[Effort]]),EffortTable,2,FALSE),0))</f>
        <v/>
      </c>
      <c r="N347" t="str">
        <f>IF(Tasks[[#This Row],[Task]]="","",IFERROR(MATCH(Tasks[[#This Row],[Status]],{"Late","Blocked","Due soon"},0),9)*100000+N(Tasks[[#This Row],[Due]]))</f>
        <v/>
      </c>
      <c r="O347" t="str" cm="1">
        <f t="array" aca="1" ref="O3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7" t="str" cm="1">
        <f t="array" ref="P3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7" t="str" cm="1">
        <f t="array" ref="Q3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7" t="str" cm="1">
        <f t="array" ref="R3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8" spans="1:18" x14ac:dyDescent="0.25">
      <c r="A348" s="14" t="str" cm="1">
        <f t="array" ref="A348">IF(Tasks[[#This Row],[Task]]="","","T-"&amp;TEXT(ROW()-ROW(Tasks[#Headers]),"000"))</f>
        <v/>
      </c>
      <c r="B348" s="15"/>
      <c r="C348" s="15"/>
      <c r="D348" s="15"/>
      <c r="E348" s="15"/>
      <c r="F348" s="16"/>
      <c r="G348" s="16"/>
      <c r="H348" s="16"/>
      <c r="I348" s="15"/>
      <c r="J348" s="15"/>
      <c r="K3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8" s="17" t="str">
        <f>IF(Tasks[[#This Row],[Task]]="","",IFERROR(VLOOKUP(IF(Tasks[[#This Row],[Effort]]="","M",Tasks[[#This Row],[Effort]]),EffortTable,2,FALSE),0))</f>
        <v/>
      </c>
      <c r="N348" t="str">
        <f>IF(Tasks[[#This Row],[Task]]="","",IFERROR(MATCH(Tasks[[#This Row],[Status]],{"Late","Blocked","Due soon"},0),9)*100000+N(Tasks[[#This Row],[Due]]))</f>
        <v/>
      </c>
      <c r="O348" t="str" cm="1">
        <f t="array" aca="1" ref="O3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8" t="str" cm="1">
        <f t="array" ref="P3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8" t="str" cm="1">
        <f t="array" ref="Q3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8" t="str" cm="1">
        <f t="array" ref="R3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49" spans="1:18" x14ac:dyDescent="0.25">
      <c r="A349" s="14" t="str" cm="1">
        <f t="array" ref="A349">IF(Tasks[[#This Row],[Task]]="","","T-"&amp;TEXT(ROW()-ROW(Tasks[#Headers]),"000"))</f>
        <v/>
      </c>
      <c r="B349" s="15"/>
      <c r="C349" s="15"/>
      <c r="D349" s="15"/>
      <c r="E349" s="15"/>
      <c r="F349" s="16"/>
      <c r="G349" s="16"/>
      <c r="H349" s="16"/>
      <c r="I349" s="15"/>
      <c r="J349" s="15"/>
      <c r="K3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49" s="17" t="str">
        <f>IF(Tasks[[#This Row],[Task]]="","",IFERROR(VLOOKUP(IF(Tasks[[#This Row],[Effort]]="","M",Tasks[[#This Row],[Effort]]),EffortTable,2,FALSE),0))</f>
        <v/>
      </c>
      <c r="N349" t="str">
        <f>IF(Tasks[[#This Row],[Task]]="","",IFERROR(MATCH(Tasks[[#This Row],[Status]],{"Late","Blocked","Due soon"},0),9)*100000+N(Tasks[[#This Row],[Due]]))</f>
        <v/>
      </c>
      <c r="O349" t="str" cm="1">
        <f t="array" aca="1" ref="O3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49" t="str" cm="1">
        <f t="array" ref="P3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49" t="str" cm="1">
        <f t="array" ref="Q3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49" t="str" cm="1">
        <f t="array" ref="R3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0" spans="1:18" x14ac:dyDescent="0.25">
      <c r="A350" s="14" t="str" cm="1">
        <f t="array" ref="A350">IF(Tasks[[#This Row],[Task]]="","","T-"&amp;TEXT(ROW()-ROW(Tasks[#Headers]),"000"))</f>
        <v/>
      </c>
      <c r="B350" s="15"/>
      <c r="C350" s="15"/>
      <c r="D350" s="15"/>
      <c r="E350" s="15"/>
      <c r="F350" s="16"/>
      <c r="G350" s="16"/>
      <c r="H350" s="16"/>
      <c r="I350" s="15"/>
      <c r="J350" s="15"/>
      <c r="K3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0" s="17" t="str">
        <f>IF(Tasks[[#This Row],[Task]]="","",IFERROR(VLOOKUP(IF(Tasks[[#This Row],[Effort]]="","M",Tasks[[#This Row],[Effort]]),EffortTable,2,FALSE),0))</f>
        <v/>
      </c>
      <c r="N350" t="str">
        <f>IF(Tasks[[#This Row],[Task]]="","",IFERROR(MATCH(Tasks[[#This Row],[Status]],{"Late","Blocked","Due soon"},0),9)*100000+N(Tasks[[#This Row],[Due]]))</f>
        <v/>
      </c>
      <c r="O350" t="str" cm="1">
        <f t="array" aca="1" ref="O3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0" t="str" cm="1">
        <f t="array" ref="P3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0" t="str" cm="1">
        <f t="array" ref="Q3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0" t="str" cm="1">
        <f t="array" ref="R3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1" spans="1:18" x14ac:dyDescent="0.25">
      <c r="A351" s="14" t="str" cm="1">
        <f t="array" ref="A351">IF(Tasks[[#This Row],[Task]]="","","T-"&amp;TEXT(ROW()-ROW(Tasks[#Headers]),"000"))</f>
        <v/>
      </c>
      <c r="B351" s="15"/>
      <c r="C351" s="15"/>
      <c r="D351" s="15"/>
      <c r="E351" s="15"/>
      <c r="F351" s="16"/>
      <c r="G351" s="16"/>
      <c r="H351" s="16"/>
      <c r="I351" s="15"/>
      <c r="J351" s="15"/>
      <c r="K3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1" s="17" t="str">
        <f>IF(Tasks[[#This Row],[Task]]="","",IFERROR(VLOOKUP(IF(Tasks[[#This Row],[Effort]]="","M",Tasks[[#This Row],[Effort]]),EffortTable,2,FALSE),0))</f>
        <v/>
      </c>
      <c r="N351" t="str">
        <f>IF(Tasks[[#This Row],[Task]]="","",IFERROR(MATCH(Tasks[[#This Row],[Status]],{"Late","Blocked","Due soon"},0),9)*100000+N(Tasks[[#This Row],[Due]]))</f>
        <v/>
      </c>
      <c r="O351" t="str" cm="1">
        <f t="array" aca="1" ref="O3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1" t="str" cm="1">
        <f t="array" ref="P3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1" t="str" cm="1">
        <f t="array" ref="Q3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1" t="str" cm="1">
        <f t="array" ref="R3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2" spans="1:18" x14ac:dyDescent="0.25">
      <c r="A352" s="14" t="str" cm="1">
        <f t="array" ref="A352">IF(Tasks[[#This Row],[Task]]="","","T-"&amp;TEXT(ROW()-ROW(Tasks[#Headers]),"000"))</f>
        <v/>
      </c>
      <c r="B352" s="15"/>
      <c r="C352" s="15"/>
      <c r="D352" s="15"/>
      <c r="E352" s="15"/>
      <c r="F352" s="16"/>
      <c r="G352" s="16"/>
      <c r="H352" s="16"/>
      <c r="I352" s="15"/>
      <c r="J352" s="15"/>
      <c r="K3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2" s="17" t="str">
        <f>IF(Tasks[[#This Row],[Task]]="","",IFERROR(VLOOKUP(IF(Tasks[[#This Row],[Effort]]="","M",Tasks[[#This Row],[Effort]]),EffortTable,2,FALSE),0))</f>
        <v/>
      </c>
      <c r="N352" t="str">
        <f>IF(Tasks[[#This Row],[Task]]="","",IFERROR(MATCH(Tasks[[#This Row],[Status]],{"Late","Blocked","Due soon"},0),9)*100000+N(Tasks[[#This Row],[Due]]))</f>
        <v/>
      </c>
      <c r="O352" t="str" cm="1">
        <f t="array" aca="1" ref="O3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2" t="str" cm="1">
        <f t="array" ref="P3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2" t="str" cm="1">
        <f t="array" ref="Q3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2" t="str" cm="1">
        <f t="array" ref="R3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3" spans="1:18" x14ac:dyDescent="0.25">
      <c r="A353" s="14" t="str" cm="1">
        <f t="array" ref="A353">IF(Tasks[[#This Row],[Task]]="","","T-"&amp;TEXT(ROW()-ROW(Tasks[#Headers]),"000"))</f>
        <v/>
      </c>
      <c r="B353" s="15"/>
      <c r="C353" s="15"/>
      <c r="D353" s="15"/>
      <c r="E353" s="15"/>
      <c r="F353" s="16"/>
      <c r="G353" s="16"/>
      <c r="H353" s="16"/>
      <c r="I353" s="15"/>
      <c r="J353" s="15"/>
      <c r="K3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3" s="17" t="str">
        <f>IF(Tasks[[#This Row],[Task]]="","",IFERROR(VLOOKUP(IF(Tasks[[#This Row],[Effort]]="","M",Tasks[[#This Row],[Effort]]),EffortTable,2,FALSE),0))</f>
        <v/>
      </c>
      <c r="N353" t="str">
        <f>IF(Tasks[[#This Row],[Task]]="","",IFERROR(MATCH(Tasks[[#This Row],[Status]],{"Late","Blocked","Due soon"},0),9)*100000+N(Tasks[[#This Row],[Due]]))</f>
        <v/>
      </c>
      <c r="O353" t="str" cm="1">
        <f t="array" aca="1" ref="O3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3" t="str" cm="1">
        <f t="array" ref="P3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3" t="str" cm="1">
        <f t="array" ref="Q3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3" t="str" cm="1">
        <f t="array" ref="R3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4" spans="1:18" x14ac:dyDescent="0.25">
      <c r="A354" s="14" t="str" cm="1">
        <f t="array" ref="A354">IF(Tasks[[#This Row],[Task]]="","","T-"&amp;TEXT(ROW()-ROW(Tasks[#Headers]),"000"))</f>
        <v/>
      </c>
      <c r="B354" s="15"/>
      <c r="C354" s="15"/>
      <c r="D354" s="15"/>
      <c r="E354" s="15"/>
      <c r="F354" s="16"/>
      <c r="G354" s="16"/>
      <c r="H354" s="16"/>
      <c r="I354" s="15"/>
      <c r="J354" s="15"/>
      <c r="K3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4" s="17" t="str">
        <f>IF(Tasks[[#This Row],[Task]]="","",IFERROR(VLOOKUP(IF(Tasks[[#This Row],[Effort]]="","M",Tasks[[#This Row],[Effort]]),EffortTable,2,FALSE),0))</f>
        <v/>
      </c>
      <c r="N354" t="str">
        <f>IF(Tasks[[#This Row],[Task]]="","",IFERROR(MATCH(Tasks[[#This Row],[Status]],{"Late","Blocked","Due soon"},0),9)*100000+N(Tasks[[#This Row],[Due]]))</f>
        <v/>
      </c>
      <c r="O354" t="str" cm="1">
        <f t="array" aca="1" ref="O3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4" t="str" cm="1">
        <f t="array" ref="P3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4" t="str" cm="1">
        <f t="array" ref="Q3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4" t="str" cm="1">
        <f t="array" ref="R3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5" spans="1:18" x14ac:dyDescent="0.25">
      <c r="A355" s="14" t="str" cm="1">
        <f t="array" ref="A355">IF(Tasks[[#This Row],[Task]]="","","T-"&amp;TEXT(ROW()-ROW(Tasks[#Headers]),"000"))</f>
        <v/>
      </c>
      <c r="B355" s="15"/>
      <c r="C355" s="15"/>
      <c r="D355" s="15"/>
      <c r="E355" s="15"/>
      <c r="F355" s="16"/>
      <c r="G355" s="16"/>
      <c r="H355" s="16"/>
      <c r="I355" s="15"/>
      <c r="J355" s="15"/>
      <c r="K3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5" s="17" t="str">
        <f>IF(Tasks[[#This Row],[Task]]="","",IFERROR(VLOOKUP(IF(Tasks[[#This Row],[Effort]]="","M",Tasks[[#This Row],[Effort]]),EffortTable,2,FALSE),0))</f>
        <v/>
      </c>
      <c r="N355" t="str">
        <f>IF(Tasks[[#This Row],[Task]]="","",IFERROR(MATCH(Tasks[[#This Row],[Status]],{"Late","Blocked","Due soon"},0),9)*100000+N(Tasks[[#This Row],[Due]]))</f>
        <v/>
      </c>
      <c r="O355" t="str" cm="1">
        <f t="array" aca="1" ref="O3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5" t="str" cm="1">
        <f t="array" ref="P3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5" t="str" cm="1">
        <f t="array" ref="Q3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5" t="str" cm="1">
        <f t="array" ref="R3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6" spans="1:18" x14ac:dyDescent="0.25">
      <c r="A356" s="14" t="str" cm="1">
        <f t="array" ref="A356">IF(Tasks[[#This Row],[Task]]="","","T-"&amp;TEXT(ROW()-ROW(Tasks[#Headers]),"000"))</f>
        <v/>
      </c>
      <c r="B356" s="15"/>
      <c r="C356" s="15"/>
      <c r="D356" s="15"/>
      <c r="E356" s="15"/>
      <c r="F356" s="16"/>
      <c r="G356" s="16"/>
      <c r="H356" s="16"/>
      <c r="I356" s="15"/>
      <c r="J356" s="15"/>
      <c r="K3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6" s="17" t="str">
        <f>IF(Tasks[[#This Row],[Task]]="","",IFERROR(VLOOKUP(IF(Tasks[[#This Row],[Effort]]="","M",Tasks[[#This Row],[Effort]]),EffortTable,2,FALSE),0))</f>
        <v/>
      </c>
      <c r="N356" t="str">
        <f>IF(Tasks[[#This Row],[Task]]="","",IFERROR(MATCH(Tasks[[#This Row],[Status]],{"Late","Blocked","Due soon"},0),9)*100000+N(Tasks[[#This Row],[Due]]))</f>
        <v/>
      </c>
      <c r="O356" t="str" cm="1">
        <f t="array" aca="1" ref="O3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6" t="str" cm="1">
        <f t="array" ref="P3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6" t="str" cm="1">
        <f t="array" ref="Q3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6" t="str" cm="1">
        <f t="array" ref="R3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7" spans="1:18" x14ac:dyDescent="0.25">
      <c r="A357" s="14" t="str" cm="1">
        <f t="array" ref="A357">IF(Tasks[[#This Row],[Task]]="","","T-"&amp;TEXT(ROW()-ROW(Tasks[#Headers]),"000"))</f>
        <v/>
      </c>
      <c r="B357" s="15"/>
      <c r="C357" s="15"/>
      <c r="D357" s="15"/>
      <c r="E357" s="15"/>
      <c r="F357" s="16"/>
      <c r="G357" s="16"/>
      <c r="H357" s="16"/>
      <c r="I357" s="15"/>
      <c r="J357" s="15"/>
      <c r="K3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7" s="17" t="str">
        <f>IF(Tasks[[#This Row],[Task]]="","",IFERROR(VLOOKUP(IF(Tasks[[#This Row],[Effort]]="","M",Tasks[[#This Row],[Effort]]),EffortTable,2,FALSE),0))</f>
        <v/>
      </c>
      <c r="N357" t="str">
        <f>IF(Tasks[[#This Row],[Task]]="","",IFERROR(MATCH(Tasks[[#This Row],[Status]],{"Late","Blocked","Due soon"},0),9)*100000+N(Tasks[[#This Row],[Due]]))</f>
        <v/>
      </c>
      <c r="O357" t="str" cm="1">
        <f t="array" aca="1" ref="O3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7" t="str" cm="1">
        <f t="array" ref="P3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7" t="str" cm="1">
        <f t="array" ref="Q3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7" t="str" cm="1">
        <f t="array" ref="R3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8" spans="1:18" x14ac:dyDescent="0.25">
      <c r="A358" s="14" t="str" cm="1">
        <f t="array" ref="A358">IF(Tasks[[#This Row],[Task]]="","","T-"&amp;TEXT(ROW()-ROW(Tasks[#Headers]),"000"))</f>
        <v/>
      </c>
      <c r="B358" s="15"/>
      <c r="C358" s="15"/>
      <c r="D358" s="15"/>
      <c r="E358" s="15"/>
      <c r="F358" s="16"/>
      <c r="G358" s="16"/>
      <c r="H358" s="16"/>
      <c r="I358" s="15"/>
      <c r="J358" s="15"/>
      <c r="K3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8" s="17" t="str">
        <f>IF(Tasks[[#This Row],[Task]]="","",IFERROR(VLOOKUP(IF(Tasks[[#This Row],[Effort]]="","M",Tasks[[#This Row],[Effort]]),EffortTable,2,FALSE),0))</f>
        <v/>
      </c>
      <c r="N358" t="str">
        <f>IF(Tasks[[#This Row],[Task]]="","",IFERROR(MATCH(Tasks[[#This Row],[Status]],{"Late","Blocked","Due soon"},0),9)*100000+N(Tasks[[#This Row],[Due]]))</f>
        <v/>
      </c>
      <c r="O358" t="str" cm="1">
        <f t="array" aca="1" ref="O3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8" t="str" cm="1">
        <f t="array" ref="P3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8" t="str" cm="1">
        <f t="array" ref="Q3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8" t="str" cm="1">
        <f t="array" ref="R3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59" spans="1:18" x14ac:dyDescent="0.25">
      <c r="A359" s="14" t="str" cm="1">
        <f t="array" ref="A359">IF(Tasks[[#This Row],[Task]]="","","T-"&amp;TEXT(ROW()-ROW(Tasks[#Headers]),"000"))</f>
        <v/>
      </c>
      <c r="B359" s="15"/>
      <c r="C359" s="15"/>
      <c r="D359" s="15"/>
      <c r="E359" s="15"/>
      <c r="F359" s="16"/>
      <c r="G359" s="16"/>
      <c r="H359" s="16"/>
      <c r="I359" s="15"/>
      <c r="J359" s="15"/>
      <c r="K3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59" s="17" t="str">
        <f>IF(Tasks[[#This Row],[Task]]="","",IFERROR(VLOOKUP(IF(Tasks[[#This Row],[Effort]]="","M",Tasks[[#This Row],[Effort]]),EffortTable,2,FALSE),0))</f>
        <v/>
      </c>
      <c r="N359" t="str">
        <f>IF(Tasks[[#This Row],[Task]]="","",IFERROR(MATCH(Tasks[[#This Row],[Status]],{"Late","Blocked","Due soon"},0),9)*100000+N(Tasks[[#This Row],[Due]]))</f>
        <v/>
      </c>
      <c r="O359" t="str" cm="1">
        <f t="array" aca="1" ref="O3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59" t="str" cm="1">
        <f t="array" ref="P3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59" t="str" cm="1">
        <f t="array" ref="Q3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59" t="str" cm="1">
        <f t="array" ref="R3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0" spans="1:18" x14ac:dyDescent="0.25">
      <c r="A360" s="14" t="str" cm="1">
        <f t="array" ref="A360">IF(Tasks[[#This Row],[Task]]="","","T-"&amp;TEXT(ROW()-ROW(Tasks[#Headers]),"000"))</f>
        <v/>
      </c>
      <c r="B360" s="15"/>
      <c r="C360" s="15"/>
      <c r="D360" s="15"/>
      <c r="E360" s="15"/>
      <c r="F360" s="16"/>
      <c r="G360" s="16"/>
      <c r="H360" s="16"/>
      <c r="I360" s="15"/>
      <c r="J360" s="15"/>
      <c r="K3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0" s="17" t="str">
        <f>IF(Tasks[[#This Row],[Task]]="","",IFERROR(VLOOKUP(IF(Tasks[[#This Row],[Effort]]="","M",Tasks[[#This Row],[Effort]]),EffortTable,2,FALSE),0))</f>
        <v/>
      </c>
      <c r="N360" t="str">
        <f>IF(Tasks[[#This Row],[Task]]="","",IFERROR(MATCH(Tasks[[#This Row],[Status]],{"Late","Blocked","Due soon"},0),9)*100000+N(Tasks[[#This Row],[Due]]))</f>
        <v/>
      </c>
      <c r="O360" t="str" cm="1">
        <f t="array" aca="1" ref="O3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0" t="str" cm="1">
        <f t="array" ref="P3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0" t="str" cm="1">
        <f t="array" ref="Q3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0" t="str" cm="1">
        <f t="array" ref="R3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1" spans="1:18" x14ac:dyDescent="0.25">
      <c r="A361" s="14" t="str" cm="1">
        <f t="array" ref="A361">IF(Tasks[[#This Row],[Task]]="","","T-"&amp;TEXT(ROW()-ROW(Tasks[#Headers]),"000"))</f>
        <v/>
      </c>
      <c r="B361" s="15"/>
      <c r="C361" s="15"/>
      <c r="D361" s="15"/>
      <c r="E361" s="15"/>
      <c r="F361" s="16"/>
      <c r="G361" s="16"/>
      <c r="H361" s="16"/>
      <c r="I361" s="15"/>
      <c r="J361" s="15"/>
      <c r="K3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1" s="17" t="str">
        <f>IF(Tasks[[#This Row],[Task]]="","",IFERROR(VLOOKUP(IF(Tasks[[#This Row],[Effort]]="","M",Tasks[[#This Row],[Effort]]),EffortTable,2,FALSE),0))</f>
        <v/>
      </c>
      <c r="N361" t="str">
        <f>IF(Tasks[[#This Row],[Task]]="","",IFERROR(MATCH(Tasks[[#This Row],[Status]],{"Late","Blocked","Due soon"},0),9)*100000+N(Tasks[[#This Row],[Due]]))</f>
        <v/>
      </c>
      <c r="O361" t="str" cm="1">
        <f t="array" aca="1" ref="O3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1" t="str" cm="1">
        <f t="array" ref="P3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1" t="str" cm="1">
        <f t="array" ref="Q3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1" t="str" cm="1">
        <f t="array" ref="R3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2" spans="1:18" x14ac:dyDescent="0.25">
      <c r="A362" s="14" t="str" cm="1">
        <f t="array" ref="A362">IF(Tasks[[#This Row],[Task]]="","","T-"&amp;TEXT(ROW()-ROW(Tasks[#Headers]),"000"))</f>
        <v/>
      </c>
      <c r="B362" s="15"/>
      <c r="C362" s="15"/>
      <c r="D362" s="15"/>
      <c r="E362" s="15"/>
      <c r="F362" s="16"/>
      <c r="G362" s="16"/>
      <c r="H362" s="16"/>
      <c r="I362" s="15"/>
      <c r="J362" s="15"/>
      <c r="K3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2" s="17" t="str">
        <f>IF(Tasks[[#This Row],[Task]]="","",IFERROR(VLOOKUP(IF(Tasks[[#This Row],[Effort]]="","M",Tasks[[#This Row],[Effort]]),EffortTable,2,FALSE),0))</f>
        <v/>
      </c>
      <c r="N362" t="str">
        <f>IF(Tasks[[#This Row],[Task]]="","",IFERROR(MATCH(Tasks[[#This Row],[Status]],{"Late","Blocked","Due soon"},0),9)*100000+N(Tasks[[#This Row],[Due]]))</f>
        <v/>
      </c>
      <c r="O362" t="str" cm="1">
        <f t="array" aca="1" ref="O3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2" t="str" cm="1">
        <f t="array" ref="P3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2" t="str" cm="1">
        <f t="array" ref="Q3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2" t="str" cm="1">
        <f t="array" ref="R3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3" spans="1:18" x14ac:dyDescent="0.25">
      <c r="A363" s="14" t="str" cm="1">
        <f t="array" ref="A363">IF(Tasks[[#This Row],[Task]]="","","T-"&amp;TEXT(ROW()-ROW(Tasks[#Headers]),"000"))</f>
        <v/>
      </c>
      <c r="B363" s="15"/>
      <c r="C363" s="15"/>
      <c r="D363" s="15"/>
      <c r="E363" s="15"/>
      <c r="F363" s="16"/>
      <c r="G363" s="16"/>
      <c r="H363" s="16"/>
      <c r="I363" s="15"/>
      <c r="J363" s="15"/>
      <c r="K3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3" s="17" t="str">
        <f>IF(Tasks[[#This Row],[Task]]="","",IFERROR(VLOOKUP(IF(Tasks[[#This Row],[Effort]]="","M",Tasks[[#This Row],[Effort]]),EffortTable,2,FALSE),0))</f>
        <v/>
      </c>
      <c r="N363" t="str">
        <f>IF(Tasks[[#This Row],[Task]]="","",IFERROR(MATCH(Tasks[[#This Row],[Status]],{"Late","Blocked","Due soon"},0),9)*100000+N(Tasks[[#This Row],[Due]]))</f>
        <v/>
      </c>
      <c r="O363" t="str" cm="1">
        <f t="array" aca="1" ref="O3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3" t="str" cm="1">
        <f t="array" ref="P3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3" t="str" cm="1">
        <f t="array" ref="Q3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3" t="str" cm="1">
        <f t="array" ref="R3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4" spans="1:18" x14ac:dyDescent="0.25">
      <c r="A364" s="14" t="str" cm="1">
        <f t="array" ref="A364">IF(Tasks[[#This Row],[Task]]="","","T-"&amp;TEXT(ROW()-ROW(Tasks[#Headers]),"000"))</f>
        <v/>
      </c>
      <c r="B364" s="15"/>
      <c r="C364" s="15"/>
      <c r="D364" s="15"/>
      <c r="E364" s="15"/>
      <c r="F364" s="16"/>
      <c r="G364" s="16"/>
      <c r="H364" s="16"/>
      <c r="I364" s="15"/>
      <c r="J364" s="15"/>
      <c r="K3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4" s="17" t="str">
        <f>IF(Tasks[[#This Row],[Task]]="","",IFERROR(VLOOKUP(IF(Tasks[[#This Row],[Effort]]="","M",Tasks[[#This Row],[Effort]]),EffortTable,2,FALSE),0))</f>
        <v/>
      </c>
      <c r="N364" t="str">
        <f>IF(Tasks[[#This Row],[Task]]="","",IFERROR(MATCH(Tasks[[#This Row],[Status]],{"Late","Blocked","Due soon"},0),9)*100000+N(Tasks[[#This Row],[Due]]))</f>
        <v/>
      </c>
      <c r="O364" t="str" cm="1">
        <f t="array" aca="1" ref="O3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4" t="str" cm="1">
        <f t="array" ref="P3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4" t="str" cm="1">
        <f t="array" ref="Q3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4" t="str" cm="1">
        <f t="array" ref="R3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5" spans="1:18" x14ac:dyDescent="0.25">
      <c r="A365" s="14" t="str" cm="1">
        <f t="array" ref="A365">IF(Tasks[[#This Row],[Task]]="","","T-"&amp;TEXT(ROW()-ROW(Tasks[#Headers]),"000"))</f>
        <v/>
      </c>
      <c r="B365" s="15"/>
      <c r="C365" s="15"/>
      <c r="D365" s="15"/>
      <c r="E365" s="15"/>
      <c r="F365" s="16"/>
      <c r="G365" s="16"/>
      <c r="H365" s="16"/>
      <c r="I365" s="15"/>
      <c r="J365" s="15"/>
      <c r="K3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5" s="17" t="str">
        <f>IF(Tasks[[#This Row],[Task]]="","",IFERROR(VLOOKUP(IF(Tasks[[#This Row],[Effort]]="","M",Tasks[[#This Row],[Effort]]),EffortTable,2,FALSE),0))</f>
        <v/>
      </c>
      <c r="N365" t="str">
        <f>IF(Tasks[[#This Row],[Task]]="","",IFERROR(MATCH(Tasks[[#This Row],[Status]],{"Late","Blocked","Due soon"},0),9)*100000+N(Tasks[[#This Row],[Due]]))</f>
        <v/>
      </c>
      <c r="O365" t="str" cm="1">
        <f t="array" aca="1" ref="O3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5" t="str" cm="1">
        <f t="array" ref="P3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5" t="str" cm="1">
        <f t="array" ref="Q3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5" t="str" cm="1">
        <f t="array" ref="R3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6" spans="1:18" x14ac:dyDescent="0.25">
      <c r="A366" s="14" t="str" cm="1">
        <f t="array" ref="A366">IF(Tasks[[#This Row],[Task]]="","","T-"&amp;TEXT(ROW()-ROW(Tasks[#Headers]),"000"))</f>
        <v/>
      </c>
      <c r="B366" s="15"/>
      <c r="C366" s="15"/>
      <c r="D366" s="15"/>
      <c r="E366" s="15"/>
      <c r="F366" s="16"/>
      <c r="G366" s="16"/>
      <c r="H366" s="16"/>
      <c r="I366" s="15"/>
      <c r="J366" s="15"/>
      <c r="K3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6" s="17" t="str">
        <f>IF(Tasks[[#This Row],[Task]]="","",IFERROR(VLOOKUP(IF(Tasks[[#This Row],[Effort]]="","M",Tasks[[#This Row],[Effort]]),EffortTable,2,FALSE),0))</f>
        <v/>
      </c>
      <c r="N366" t="str">
        <f>IF(Tasks[[#This Row],[Task]]="","",IFERROR(MATCH(Tasks[[#This Row],[Status]],{"Late","Blocked","Due soon"},0),9)*100000+N(Tasks[[#This Row],[Due]]))</f>
        <v/>
      </c>
      <c r="O366" t="str" cm="1">
        <f t="array" aca="1" ref="O3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6" t="str" cm="1">
        <f t="array" ref="P3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6" t="str" cm="1">
        <f t="array" ref="Q3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6" t="str" cm="1">
        <f t="array" ref="R3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7" spans="1:18" x14ac:dyDescent="0.25">
      <c r="A367" s="14" t="str" cm="1">
        <f t="array" ref="A367">IF(Tasks[[#This Row],[Task]]="","","T-"&amp;TEXT(ROW()-ROW(Tasks[#Headers]),"000"))</f>
        <v/>
      </c>
      <c r="B367" s="15"/>
      <c r="C367" s="15"/>
      <c r="D367" s="15"/>
      <c r="E367" s="15"/>
      <c r="F367" s="16"/>
      <c r="G367" s="16"/>
      <c r="H367" s="16"/>
      <c r="I367" s="15"/>
      <c r="J367" s="15"/>
      <c r="K3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7" s="17" t="str">
        <f>IF(Tasks[[#This Row],[Task]]="","",IFERROR(VLOOKUP(IF(Tasks[[#This Row],[Effort]]="","M",Tasks[[#This Row],[Effort]]),EffortTable,2,FALSE),0))</f>
        <v/>
      </c>
      <c r="N367" t="str">
        <f>IF(Tasks[[#This Row],[Task]]="","",IFERROR(MATCH(Tasks[[#This Row],[Status]],{"Late","Blocked","Due soon"},0),9)*100000+N(Tasks[[#This Row],[Due]]))</f>
        <v/>
      </c>
      <c r="O367" t="str" cm="1">
        <f t="array" aca="1" ref="O3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7" t="str" cm="1">
        <f t="array" ref="P3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7" t="str" cm="1">
        <f t="array" ref="Q3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7" t="str" cm="1">
        <f t="array" ref="R3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8" spans="1:18" x14ac:dyDescent="0.25">
      <c r="A368" s="14" t="str" cm="1">
        <f t="array" ref="A368">IF(Tasks[[#This Row],[Task]]="","","T-"&amp;TEXT(ROW()-ROW(Tasks[#Headers]),"000"))</f>
        <v/>
      </c>
      <c r="B368" s="15"/>
      <c r="C368" s="15"/>
      <c r="D368" s="15"/>
      <c r="E368" s="15"/>
      <c r="F368" s="16"/>
      <c r="G368" s="16"/>
      <c r="H368" s="16"/>
      <c r="I368" s="15"/>
      <c r="J368" s="15"/>
      <c r="K3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8" s="17" t="str">
        <f>IF(Tasks[[#This Row],[Task]]="","",IFERROR(VLOOKUP(IF(Tasks[[#This Row],[Effort]]="","M",Tasks[[#This Row],[Effort]]),EffortTable,2,FALSE),0))</f>
        <v/>
      </c>
      <c r="N368" t="str">
        <f>IF(Tasks[[#This Row],[Task]]="","",IFERROR(MATCH(Tasks[[#This Row],[Status]],{"Late","Blocked","Due soon"},0),9)*100000+N(Tasks[[#This Row],[Due]]))</f>
        <v/>
      </c>
      <c r="O368" t="str" cm="1">
        <f t="array" aca="1" ref="O3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8" t="str" cm="1">
        <f t="array" ref="P3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8" t="str" cm="1">
        <f t="array" ref="Q3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8" t="str" cm="1">
        <f t="array" ref="R3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69" spans="1:18" x14ac:dyDescent="0.25">
      <c r="A369" s="14" t="str" cm="1">
        <f t="array" ref="A369">IF(Tasks[[#This Row],[Task]]="","","T-"&amp;TEXT(ROW()-ROW(Tasks[#Headers]),"000"))</f>
        <v/>
      </c>
      <c r="B369" s="15"/>
      <c r="C369" s="15"/>
      <c r="D369" s="15"/>
      <c r="E369" s="15"/>
      <c r="F369" s="16"/>
      <c r="G369" s="16"/>
      <c r="H369" s="16"/>
      <c r="I369" s="15"/>
      <c r="J369" s="15"/>
      <c r="K3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69" s="17" t="str">
        <f>IF(Tasks[[#This Row],[Task]]="","",IFERROR(VLOOKUP(IF(Tasks[[#This Row],[Effort]]="","M",Tasks[[#This Row],[Effort]]),EffortTable,2,FALSE),0))</f>
        <v/>
      </c>
      <c r="N369" t="str">
        <f>IF(Tasks[[#This Row],[Task]]="","",IFERROR(MATCH(Tasks[[#This Row],[Status]],{"Late","Blocked","Due soon"},0),9)*100000+N(Tasks[[#This Row],[Due]]))</f>
        <v/>
      </c>
      <c r="O369" t="str" cm="1">
        <f t="array" aca="1" ref="O3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69" t="str" cm="1">
        <f t="array" ref="P3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69" t="str" cm="1">
        <f t="array" ref="Q3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69" t="str" cm="1">
        <f t="array" ref="R3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0" spans="1:18" x14ac:dyDescent="0.25">
      <c r="A370" s="14" t="str" cm="1">
        <f t="array" ref="A370">IF(Tasks[[#This Row],[Task]]="","","T-"&amp;TEXT(ROW()-ROW(Tasks[#Headers]),"000"))</f>
        <v/>
      </c>
      <c r="B370" s="15"/>
      <c r="C370" s="15"/>
      <c r="D370" s="15"/>
      <c r="E370" s="15"/>
      <c r="F370" s="16"/>
      <c r="G370" s="16"/>
      <c r="H370" s="16"/>
      <c r="I370" s="15"/>
      <c r="J370" s="15"/>
      <c r="K3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0" s="17" t="str">
        <f>IF(Tasks[[#This Row],[Task]]="","",IFERROR(VLOOKUP(IF(Tasks[[#This Row],[Effort]]="","M",Tasks[[#This Row],[Effort]]),EffortTable,2,FALSE),0))</f>
        <v/>
      </c>
      <c r="N370" t="str">
        <f>IF(Tasks[[#This Row],[Task]]="","",IFERROR(MATCH(Tasks[[#This Row],[Status]],{"Late","Blocked","Due soon"},0),9)*100000+N(Tasks[[#This Row],[Due]]))</f>
        <v/>
      </c>
      <c r="O370" t="str" cm="1">
        <f t="array" aca="1" ref="O3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0" t="str" cm="1">
        <f t="array" ref="P3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0" t="str" cm="1">
        <f t="array" ref="Q3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0" t="str" cm="1">
        <f t="array" ref="R3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1" spans="1:18" x14ac:dyDescent="0.25">
      <c r="A371" s="14" t="str" cm="1">
        <f t="array" ref="A371">IF(Tasks[[#This Row],[Task]]="","","T-"&amp;TEXT(ROW()-ROW(Tasks[#Headers]),"000"))</f>
        <v/>
      </c>
      <c r="B371" s="15"/>
      <c r="C371" s="15"/>
      <c r="D371" s="15"/>
      <c r="E371" s="15"/>
      <c r="F371" s="16"/>
      <c r="G371" s="16"/>
      <c r="H371" s="16"/>
      <c r="I371" s="15"/>
      <c r="J371" s="15"/>
      <c r="K3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1" s="17" t="str">
        <f>IF(Tasks[[#This Row],[Task]]="","",IFERROR(VLOOKUP(IF(Tasks[[#This Row],[Effort]]="","M",Tasks[[#This Row],[Effort]]),EffortTable,2,FALSE),0))</f>
        <v/>
      </c>
      <c r="N371" t="str">
        <f>IF(Tasks[[#This Row],[Task]]="","",IFERROR(MATCH(Tasks[[#This Row],[Status]],{"Late","Blocked","Due soon"},0),9)*100000+N(Tasks[[#This Row],[Due]]))</f>
        <v/>
      </c>
      <c r="O371" t="str" cm="1">
        <f t="array" aca="1" ref="O3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1" t="str" cm="1">
        <f t="array" ref="P3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1" t="str" cm="1">
        <f t="array" ref="Q3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1" t="str" cm="1">
        <f t="array" ref="R3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2" spans="1:18" x14ac:dyDescent="0.25">
      <c r="A372" s="14" t="str" cm="1">
        <f t="array" ref="A372">IF(Tasks[[#This Row],[Task]]="","","T-"&amp;TEXT(ROW()-ROW(Tasks[#Headers]),"000"))</f>
        <v/>
      </c>
      <c r="B372" s="15"/>
      <c r="C372" s="15"/>
      <c r="D372" s="15"/>
      <c r="E372" s="15"/>
      <c r="F372" s="16"/>
      <c r="G372" s="16"/>
      <c r="H372" s="16"/>
      <c r="I372" s="15"/>
      <c r="J372" s="15"/>
      <c r="K3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2" s="17" t="str">
        <f>IF(Tasks[[#This Row],[Task]]="","",IFERROR(VLOOKUP(IF(Tasks[[#This Row],[Effort]]="","M",Tasks[[#This Row],[Effort]]),EffortTable,2,FALSE),0))</f>
        <v/>
      </c>
      <c r="N372" t="str">
        <f>IF(Tasks[[#This Row],[Task]]="","",IFERROR(MATCH(Tasks[[#This Row],[Status]],{"Late","Blocked","Due soon"},0),9)*100000+N(Tasks[[#This Row],[Due]]))</f>
        <v/>
      </c>
      <c r="O372" t="str" cm="1">
        <f t="array" aca="1" ref="O3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2" t="str" cm="1">
        <f t="array" ref="P3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2" t="str" cm="1">
        <f t="array" ref="Q3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2" t="str" cm="1">
        <f t="array" ref="R3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3" spans="1:18" x14ac:dyDescent="0.25">
      <c r="A373" s="14" t="str" cm="1">
        <f t="array" ref="A373">IF(Tasks[[#This Row],[Task]]="","","T-"&amp;TEXT(ROW()-ROW(Tasks[#Headers]),"000"))</f>
        <v/>
      </c>
      <c r="B373" s="15"/>
      <c r="C373" s="15"/>
      <c r="D373" s="15"/>
      <c r="E373" s="15"/>
      <c r="F373" s="16"/>
      <c r="G373" s="16"/>
      <c r="H373" s="16"/>
      <c r="I373" s="15"/>
      <c r="J373" s="15"/>
      <c r="K3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3" s="17" t="str">
        <f>IF(Tasks[[#This Row],[Task]]="","",IFERROR(VLOOKUP(IF(Tasks[[#This Row],[Effort]]="","M",Tasks[[#This Row],[Effort]]),EffortTable,2,FALSE),0))</f>
        <v/>
      </c>
      <c r="N373" t="str">
        <f>IF(Tasks[[#This Row],[Task]]="","",IFERROR(MATCH(Tasks[[#This Row],[Status]],{"Late","Blocked","Due soon"},0),9)*100000+N(Tasks[[#This Row],[Due]]))</f>
        <v/>
      </c>
      <c r="O373" t="str" cm="1">
        <f t="array" aca="1" ref="O3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3" t="str" cm="1">
        <f t="array" ref="P3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3" t="str" cm="1">
        <f t="array" ref="Q3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3" t="str" cm="1">
        <f t="array" ref="R3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4" spans="1:18" x14ac:dyDescent="0.25">
      <c r="A374" s="14" t="str" cm="1">
        <f t="array" ref="A374">IF(Tasks[[#This Row],[Task]]="","","T-"&amp;TEXT(ROW()-ROW(Tasks[#Headers]),"000"))</f>
        <v/>
      </c>
      <c r="B374" s="15"/>
      <c r="C374" s="15"/>
      <c r="D374" s="15"/>
      <c r="E374" s="15"/>
      <c r="F374" s="16"/>
      <c r="G374" s="16"/>
      <c r="H374" s="16"/>
      <c r="I374" s="15"/>
      <c r="J374" s="15"/>
      <c r="K3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4" s="17" t="str">
        <f>IF(Tasks[[#This Row],[Task]]="","",IFERROR(VLOOKUP(IF(Tasks[[#This Row],[Effort]]="","M",Tasks[[#This Row],[Effort]]),EffortTable,2,FALSE),0))</f>
        <v/>
      </c>
      <c r="N374" t="str">
        <f>IF(Tasks[[#This Row],[Task]]="","",IFERROR(MATCH(Tasks[[#This Row],[Status]],{"Late","Blocked","Due soon"},0),9)*100000+N(Tasks[[#This Row],[Due]]))</f>
        <v/>
      </c>
      <c r="O374" t="str" cm="1">
        <f t="array" aca="1" ref="O3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4" t="str" cm="1">
        <f t="array" ref="P3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4" t="str" cm="1">
        <f t="array" ref="Q3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4" t="str" cm="1">
        <f t="array" ref="R3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5" spans="1:18" x14ac:dyDescent="0.25">
      <c r="A375" s="14" t="str" cm="1">
        <f t="array" ref="A375">IF(Tasks[[#This Row],[Task]]="","","T-"&amp;TEXT(ROW()-ROW(Tasks[#Headers]),"000"))</f>
        <v/>
      </c>
      <c r="B375" s="15"/>
      <c r="C375" s="15"/>
      <c r="D375" s="15"/>
      <c r="E375" s="15"/>
      <c r="F375" s="16"/>
      <c r="G375" s="16"/>
      <c r="H375" s="16"/>
      <c r="I375" s="15"/>
      <c r="J375" s="15"/>
      <c r="K3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5" s="17" t="str">
        <f>IF(Tasks[[#This Row],[Task]]="","",IFERROR(VLOOKUP(IF(Tasks[[#This Row],[Effort]]="","M",Tasks[[#This Row],[Effort]]),EffortTable,2,FALSE),0))</f>
        <v/>
      </c>
      <c r="N375" t="str">
        <f>IF(Tasks[[#This Row],[Task]]="","",IFERROR(MATCH(Tasks[[#This Row],[Status]],{"Late","Blocked","Due soon"},0),9)*100000+N(Tasks[[#This Row],[Due]]))</f>
        <v/>
      </c>
      <c r="O375" t="str" cm="1">
        <f t="array" aca="1" ref="O3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5" t="str" cm="1">
        <f t="array" ref="P3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5" t="str" cm="1">
        <f t="array" ref="Q3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5" t="str" cm="1">
        <f t="array" ref="R3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6" spans="1:18" x14ac:dyDescent="0.25">
      <c r="A376" s="14" t="str" cm="1">
        <f t="array" ref="A376">IF(Tasks[[#This Row],[Task]]="","","T-"&amp;TEXT(ROW()-ROW(Tasks[#Headers]),"000"))</f>
        <v/>
      </c>
      <c r="B376" s="15"/>
      <c r="C376" s="15"/>
      <c r="D376" s="15"/>
      <c r="E376" s="15"/>
      <c r="F376" s="16"/>
      <c r="G376" s="16"/>
      <c r="H376" s="16"/>
      <c r="I376" s="15"/>
      <c r="J376" s="15"/>
      <c r="K3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6" s="17" t="str">
        <f>IF(Tasks[[#This Row],[Task]]="","",IFERROR(VLOOKUP(IF(Tasks[[#This Row],[Effort]]="","M",Tasks[[#This Row],[Effort]]),EffortTable,2,FALSE),0))</f>
        <v/>
      </c>
      <c r="N376" t="str">
        <f>IF(Tasks[[#This Row],[Task]]="","",IFERROR(MATCH(Tasks[[#This Row],[Status]],{"Late","Blocked","Due soon"},0),9)*100000+N(Tasks[[#This Row],[Due]]))</f>
        <v/>
      </c>
      <c r="O376" t="str" cm="1">
        <f t="array" aca="1" ref="O3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6" t="str" cm="1">
        <f t="array" ref="P3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6" t="str" cm="1">
        <f t="array" ref="Q3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6" t="str" cm="1">
        <f t="array" ref="R3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7" spans="1:18" x14ac:dyDescent="0.25">
      <c r="A377" s="14" t="str" cm="1">
        <f t="array" ref="A377">IF(Tasks[[#This Row],[Task]]="","","T-"&amp;TEXT(ROW()-ROW(Tasks[#Headers]),"000"))</f>
        <v/>
      </c>
      <c r="B377" s="15"/>
      <c r="C377" s="15"/>
      <c r="D377" s="15"/>
      <c r="E377" s="15"/>
      <c r="F377" s="16"/>
      <c r="G377" s="16"/>
      <c r="H377" s="16"/>
      <c r="I377" s="15"/>
      <c r="J377" s="15"/>
      <c r="K3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7" s="17" t="str">
        <f>IF(Tasks[[#This Row],[Task]]="","",IFERROR(VLOOKUP(IF(Tasks[[#This Row],[Effort]]="","M",Tasks[[#This Row],[Effort]]),EffortTable,2,FALSE),0))</f>
        <v/>
      </c>
      <c r="N377" t="str">
        <f>IF(Tasks[[#This Row],[Task]]="","",IFERROR(MATCH(Tasks[[#This Row],[Status]],{"Late","Blocked","Due soon"},0),9)*100000+N(Tasks[[#This Row],[Due]]))</f>
        <v/>
      </c>
      <c r="O377" t="str" cm="1">
        <f t="array" aca="1" ref="O3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7" t="str" cm="1">
        <f t="array" ref="P3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7" t="str" cm="1">
        <f t="array" ref="Q3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7" t="str" cm="1">
        <f t="array" ref="R3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8" spans="1:18" x14ac:dyDescent="0.25">
      <c r="A378" s="14" t="str" cm="1">
        <f t="array" ref="A378">IF(Tasks[[#This Row],[Task]]="","","T-"&amp;TEXT(ROW()-ROW(Tasks[#Headers]),"000"))</f>
        <v/>
      </c>
      <c r="B378" s="15"/>
      <c r="C378" s="15"/>
      <c r="D378" s="15"/>
      <c r="E378" s="15"/>
      <c r="F378" s="16"/>
      <c r="G378" s="16"/>
      <c r="H378" s="16"/>
      <c r="I378" s="15"/>
      <c r="J378" s="15"/>
      <c r="K3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8" s="17" t="str">
        <f>IF(Tasks[[#This Row],[Task]]="","",IFERROR(VLOOKUP(IF(Tasks[[#This Row],[Effort]]="","M",Tasks[[#This Row],[Effort]]),EffortTable,2,FALSE),0))</f>
        <v/>
      </c>
      <c r="N378" t="str">
        <f>IF(Tasks[[#This Row],[Task]]="","",IFERROR(MATCH(Tasks[[#This Row],[Status]],{"Late","Blocked","Due soon"},0),9)*100000+N(Tasks[[#This Row],[Due]]))</f>
        <v/>
      </c>
      <c r="O378" t="str" cm="1">
        <f t="array" aca="1" ref="O3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8" t="str" cm="1">
        <f t="array" ref="P3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8" t="str" cm="1">
        <f t="array" ref="Q3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8" t="str" cm="1">
        <f t="array" ref="R3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79" spans="1:18" x14ac:dyDescent="0.25">
      <c r="A379" s="14" t="str" cm="1">
        <f t="array" ref="A379">IF(Tasks[[#This Row],[Task]]="","","T-"&amp;TEXT(ROW()-ROW(Tasks[#Headers]),"000"))</f>
        <v/>
      </c>
      <c r="B379" s="15"/>
      <c r="C379" s="15"/>
      <c r="D379" s="15"/>
      <c r="E379" s="15"/>
      <c r="F379" s="16"/>
      <c r="G379" s="16"/>
      <c r="H379" s="16"/>
      <c r="I379" s="15"/>
      <c r="J379" s="15"/>
      <c r="K3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79" s="17" t="str">
        <f>IF(Tasks[[#This Row],[Task]]="","",IFERROR(VLOOKUP(IF(Tasks[[#This Row],[Effort]]="","M",Tasks[[#This Row],[Effort]]),EffortTable,2,FALSE),0))</f>
        <v/>
      </c>
      <c r="N379" t="str">
        <f>IF(Tasks[[#This Row],[Task]]="","",IFERROR(MATCH(Tasks[[#This Row],[Status]],{"Late","Blocked","Due soon"},0),9)*100000+N(Tasks[[#This Row],[Due]]))</f>
        <v/>
      </c>
      <c r="O379" t="str" cm="1">
        <f t="array" aca="1" ref="O3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79" t="str" cm="1">
        <f t="array" ref="P3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79" t="str" cm="1">
        <f t="array" ref="Q3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79" t="str" cm="1">
        <f t="array" ref="R3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0" spans="1:18" x14ac:dyDescent="0.25">
      <c r="A380" s="14" t="str" cm="1">
        <f t="array" ref="A380">IF(Tasks[[#This Row],[Task]]="","","T-"&amp;TEXT(ROW()-ROW(Tasks[#Headers]),"000"))</f>
        <v/>
      </c>
      <c r="B380" s="15"/>
      <c r="C380" s="15"/>
      <c r="D380" s="15"/>
      <c r="E380" s="15"/>
      <c r="F380" s="16"/>
      <c r="G380" s="16"/>
      <c r="H380" s="16"/>
      <c r="I380" s="15"/>
      <c r="J380" s="15"/>
      <c r="K3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0" s="17" t="str">
        <f>IF(Tasks[[#This Row],[Task]]="","",IFERROR(VLOOKUP(IF(Tasks[[#This Row],[Effort]]="","M",Tasks[[#This Row],[Effort]]),EffortTable,2,FALSE),0))</f>
        <v/>
      </c>
      <c r="N380" t="str">
        <f>IF(Tasks[[#This Row],[Task]]="","",IFERROR(MATCH(Tasks[[#This Row],[Status]],{"Late","Blocked","Due soon"},0),9)*100000+N(Tasks[[#This Row],[Due]]))</f>
        <v/>
      </c>
      <c r="O380" t="str" cm="1">
        <f t="array" aca="1" ref="O3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0" t="str" cm="1">
        <f t="array" ref="P3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0" t="str" cm="1">
        <f t="array" ref="Q3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0" t="str" cm="1">
        <f t="array" ref="R3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1" spans="1:18" x14ac:dyDescent="0.25">
      <c r="A381" s="14" t="str" cm="1">
        <f t="array" ref="A381">IF(Tasks[[#This Row],[Task]]="","","T-"&amp;TEXT(ROW()-ROW(Tasks[#Headers]),"000"))</f>
        <v/>
      </c>
      <c r="B381" s="15"/>
      <c r="C381" s="15"/>
      <c r="D381" s="15"/>
      <c r="E381" s="15"/>
      <c r="F381" s="16"/>
      <c r="G381" s="16"/>
      <c r="H381" s="16"/>
      <c r="I381" s="15"/>
      <c r="J381" s="15"/>
      <c r="K3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1" s="17" t="str">
        <f>IF(Tasks[[#This Row],[Task]]="","",IFERROR(VLOOKUP(IF(Tasks[[#This Row],[Effort]]="","M",Tasks[[#This Row],[Effort]]),EffortTable,2,FALSE),0))</f>
        <v/>
      </c>
      <c r="N381" t="str">
        <f>IF(Tasks[[#This Row],[Task]]="","",IFERROR(MATCH(Tasks[[#This Row],[Status]],{"Late","Blocked","Due soon"},0),9)*100000+N(Tasks[[#This Row],[Due]]))</f>
        <v/>
      </c>
      <c r="O381" t="str" cm="1">
        <f t="array" aca="1" ref="O3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1" t="str" cm="1">
        <f t="array" ref="P3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1" t="str" cm="1">
        <f t="array" ref="Q3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1" t="str" cm="1">
        <f t="array" ref="R3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2" spans="1:18" x14ac:dyDescent="0.25">
      <c r="A382" s="14" t="str" cm="1">
        <f t="array" ref="A382">IF(Tasks[[#This Row],[Task]]="","","T-"&amp;TEXT(ROW()-ROW(Tasks[#Headers]),"000"))</f>
        <v/>
      </c>
      <c r="B382" s="15"/>
      <c r="C382" s="15"/>
      <c r="D382" s="15"/>
      <c r="E382" s="15"/>
      <c r="F382" s="16"/>
      <c r="G382" s="16"/>
      <c r="H382" s="16"/>
      <c r="I382" s="15"/>
      <c r="J382" s="15"/>
      <c r="K3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2" s="17" t="str">
        <f>IF(Tasks[[#This Row],[Task]]="","",IFERROR(VLOOKUP(IF(Tasks[[#This Row],[Effort]]="","M",Tasks[[#This Row],[Effort]]),EffortTable,2,FALSE),0))</f>
        <v/>
      </c>
      <c r="N382" t="str">
        <f>IF(Tasks[[#This Row],[Task]]="","",IFERROR(MATCH(Tasks[[#This Row],[Status]],{"Late","Blocked","Due soon"},0),9)*100000+N(Tasks[[#This Row],[Due]]))</f>
        <v/>
      </c>
      <c r="O382" t="str" cm="1">
        <f t="array" aca="1" ref="O3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2" t="str" cm="1">
        <f t="array" ref="P3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2" t="str" cm="1">
        <f t="array" ref="Q3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2" t="str" cm="1">
        <f t="array" ref="R3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3" spans="1:18" x14ac:dyDescent="0.25">
      <c r="A383" s="14" t="str" cm="1">
        <f t="array" ref="A383">IF(Tasks[[#This Row],[Task]]="","","T-"&amp;TEXT(ROW()-ROW(Tasks[#Headers]),"000"))</f>
        <v/>
      </c>
      <c r="B383" s="15"/>
      <c r="C383" s="15"/>
      <c r="D383" s="15"/>
      <c r="E383" s="15"/>
      <c r="F383" s="16"/>
      <c r="G383" s="16"/>
      <c r="H383" s="16"/>
      <c r="I383" s="15"/>
      <c r="J383" s="15"/>
      <c r="K3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3" s="17" t="str">
        <f>IF(Tasks[[#This Row],[Task]]="","",IFERROR(VLOOKUP(IF(Tasks[[#This Row],[Effort]]="","M",Tasks[[#This Row],[Effort]]),EffortTable,2,FALSE),0))</f>
        <v/>
      </c>
      <c r="N383" t="str">
        <f>IF(Tasks[[#This Row],[Task]]="","",IFERROR(MATCH(Tasks[[#This Row],[Status]],{"Late","Blocked","Due soon"},0),9)*100000+N(Tasks[[#This Row],[Due]]))</f>
        <v/>
      </c>
      <c r="O383" t="str" cm="1">
        <f t="array" aca="1" ref="O3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3" t="str" cm="1">
        <f t="array" ref="P3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3" t="str" cm="1">
        <f t="array" ref="Q3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3" t="str" cm="1">
        <f t="array" ref="R3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4" spans="1:18" x14ac:dyDescent="0.25">
      <c r="A384" s="14" t="str" cm="1">
        <f t="array" ref="A384">IF(Tasks[[#This Row],[Task]]="","","T-"&amp;TEXT(ROW()-ROW(Tasks[#Headers]),"000"))</f>
        <v/>
      </c>
      <c r="B384" s="15"/>
      <c r="C384" s="15"/>
      <c r="D384" s="15"/>
      <c r="E384" s="15"/>
      <c r="F384" s="16"/>
      <c r="G384" s="16"/>
      <c r="H384" s="16"/>
      <c r="I384" s="15"/>
      <c r="J384" s="15"/>
      <c r="K3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4" s="17" t="str">
        <f>IF(Tasks[[#This Row],[Task]]="","",IFERROR(VLOOKUP(IF(Tasks[[#This Row],[Effort]]="","M",Tasks[[#This Row],[Effort]]),EffortTable,2,FALSE),0))</f>
        <v/>
      </c>
      <c r="N384" t="str">
        <f>IF(Tasks[[#This Row],[Task]]="","",IFERROR(MATCH(Tasks[[#This Row],[Status]],{"Late","Blocked","Due soon"},0),9)*100000+N(Tasks[[#This Row],[Due]]))</f>
        <v/>
      </c>
      <c r="O384" t="str" cm="1">
        <f t="array" aca="1" ref="O3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4" t="str" cm="1">
        <f t="array" ref="P3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4" t="str" cm="1">
        <f t="array" ref="Q3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4" t="str" cm="1">
        <f t="array" ref="R3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5" spans="1:18" x14ac:dyDescent="0.25">
      <c r="A385" s="14" t="str" cm="1">
        <f t="array" ref="A385">IF(Tasks[[#This Row],[Task]]="","","T-"&amp;TEXT(ROW()-ROW(Tasks[#Headers]),"000"))</f>
        <v/>
      </c>
      <c r="B385" s="15"/>
      <c r="C385" s="15"/>
      <c r="D385" s="15"/>
      <c r="E385" s="15"/>
      <c r="F385" s="16"/>
      <c r="G385" s="16"/>
      <c r="H385" s="16"/>
      <c r="I385" s="15"/>
      <c r="J385" s="15"/>
      <c r="K3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5" s="17" t="str">
        <f>IF(Tasks[[#This Row],[Task]]="","",IFERROR(VLOOKUP(IF(Tasks[[#This Row],[Effort]]="","M",Tasks[[#This Row],[Effort]]),EffortTable,2,FALSE),0))</f>
        <v/>
      </c>
      <c r="N385" t="str">
        <f>IF(Tasks[[#This Row],[Task]]="","",IFERROR(MATCH(Tasks[[#This Row],[Status]],{"Late","Blocked","Due soon"},0),9)*100000+N(Tasks[[#This Row],[Due]]))</f>
        <v/>
      </c>
      <c r="O385" t="str" cm="1">
        <f t="array" aca="1" ref="O3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5" t="str" cm="1">
        <f t="array" ref="P3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5" t="str" cm="1">
        <f t="array" ref="Q3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5" t="str" cm="1">
        <f t="array" ref="R3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6" spans="1:18" x14ac:dyDescent="0.25">
      <c r="A386" s="14" t="str" cm="1">
        <f t="array" ref="A386">IF(Tasks[[#This Row],[Task]]="","","T-"&amp;TEXT(ROW()-ROW(Tasks[#Headers]),"000"))</f>
        <v/>
      </c>
      <c r="B386" s="15"/>
      <c r="C386" s="15"/>
      <c r="D386" s="15"/>
      <c r="E386" s="15"/>
      <c r="F386" s="16"/>
      <c r="G386" s="16"/>
      <c r="H386" s="16"/>
      <c r="I386" s="15"/>
      <c r="J386" s="15"/>
      <c r="K3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6" s="17" t="str">
        <f>IF(Tasks[[#This Row],[Task]]="","",IFERROR(VLOOKUP(IF(Tasks[[#This Row],[Effort]]="","M",Tasks[[#This Row],[Effort]]),EffortTable,2,FALSE),0))</f>
        <v/>
      </c>
      <c r="N386" t="str">
        <f>IF(Tasks[[#This Row],[Task]]="","",IFERROR(MATCH(Tasks[[#This Row],[Status]],{"Late","Blocked","Due soon"},0),9)*100000+N(Tasks[[#This Row],[Due]]))</f>
        <v/>
      </c>
      <c r="O386" t="str" cm="1">
        <f t="array" aca="1" ref="O3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6" t="str" cm="1">
        <f t="array" ref="P3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6" t="str" cm="1">
        <f t="array" ref="Q3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6" t="str" cm="1">
        <f t="array" ref="R3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7" spans="1:18" x14ac:dyDescent="0.25">
      <c r="A387" s="14" t="str" cm="1">
        <f t="array" ref="A387">IF(Tasks[[#This Row],[Task]]="","","T-"&amp;TEXT(ROW()-ROW(Tasks[#Headers]),"000"))</f>
        <v/>
      </c>
      <c r="B387" s="15"/>
      <c r="C387" s="15"/>
      <c r="D387" s="15"/>
      <c r="E387" s="15"/>
      <c r="F387" s="16"/>
      <c r="G387" s="16"/>
      <c r="H387" s="16"/>
      <c r="I387" s="15"/>
      <c r="J387" s="15"/>
      <c r="K3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7" s="17" t="str">
        <f>IF(Tasks[[#This Row],[Task]]="","",IFERROR(VLOOKUP(IF(Tasks[[#This Row],[Effort]]="","M",Tasks[[#This Row],[Effort]]),EffortTable,2,FALSE),0))</f>
        <v/>
      </c>
      <c r="N387" t="str">
        <f>IF(Tasks[[#This Row],[Task]]="","",IFERROR(MATCH(Tasks[[#This Row],[Status]],{"Late","Blocked","Due soon"},0),9)*100000+N(Tasks[[#This Row],[Due]]))</f>
        <v/>
      </c>
      <c r="O387" t="str" cm="1">
        <f t="array" aca="1" ref="O3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7" t="str" cm="1">
        <f t="array" ref="P3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7" t="str" cm="1">
        <f t="array" ref="Q3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7" t="str" cm="1">
        <f t="array" ref="R3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8" spans="1:18" x14ac:dyDescent="0.25">
      <c r="A388" s="14" t="str" cm="1">
        <f t="array" ref="A388">IF(Tasks[[#This Row],[Task]]="","","T-"&amp;TEXT(ROW()-ROW(Tasks[#Headers]),"000"))</f>
        <v/>
      </c>
      <c r="B388" s="15"/>
      <c r="C388" s="15"/>
      <c r="D388" s="15"/>
      <c r="E388" s="15"/>
      <c r="F388" s="16"/>
      <c r="G388" s="16"/>
      <c r="H388" s="16"/>
      <c r="I388" s="15"/>
      <c r="J388" s="15"/>
      <c r="K3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8" s="17" t="str">
        <f>IF(Tasks[[#This Row],[Task]]="","",IFERROR(VLOOKUP(IF(Tasks[[#This Row],[Effort]]="","M",Tasks[[#This Row],[Effort]]),EffortTable,2,FALSE),0))</f>
        <v/>
      </c>
      <c r="N388" t="str">
        <f>IF(Tasks[[#This Row],[Task]]="","",IFERROR(MATCH(Tasks[[#This Row],[Status]],{"Late","Blocked","Due soon"},0),9)*100000+N(Tasks[[#This Row],[Due]]))</f>
        <v/>
      </c>
      <c r="O388" t="str" cm="1">
        <f t="array" aca="1" ref="O3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8" t="str" cm="1">
        <f t="array" ref="P3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8" t="str" cm="1">
        <f t="array" ref="Q3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8" t="str" cm="1">
        <f t="array" ref="R3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89" spans="1:18" x14ac:dyDescent="0.25">
      <c r="A389" s="14" t="str" cm="1">
        <f t="array" ref="A389">IF(Tasks[[#This Row],[Task]]="","","T-"&amp;TEXT(ROW()-ROW(Tasks[#Headers]),"000"))</f>
        <v/>
      </c>
      <c r="B389" s="15"/>
      <c r="C389" s="15"/>
      <c r="D389" s="15"/>
      <c r="E389" s="15"/>
      <c r="F389" s="16"/>
      <c r="G389" s="16"/>
      <c r="H389" s="16"/>
      <c r="I389" s="15"/>
      <c r="J389" s="15"/>
      <c r="K3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89" s="17" t="str">
        <f>IF(Tasks[[#This Row],[Task]]="","",IFERROR(VLOOKUP(IF(Tasks[[#This Row],[Effort]]="","M",Tasks[[#This Row],[Effort]]),EffortTable,2,FALSE),0))</f>
        <v/>
      </c>
      <c r="N389" t="str">
        <f>IF(Tasks[[#This Row],[Task]]="","",IFERROR(MATCH(Tasks[[#This Row],[Status]],{"Late","Blocked","Due soon"},0),9)*100000+N(Tasks[[#This Row],[Due]]))</f>
        <v/>
      </c>
      <c r="O389" t="str" cm="1">
        <f t="array" aca="1" ref="O3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89" t="str" cm="1">
        <f t="array" ref="P3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89" t="str" cm="1">
        <f t="array" ref="Q3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89" t="str" cm="1">
        <f t="array" ref="R3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0" spans="1:18" x14ac:dyDescent="0.25">
      <c r="A390" s="14" t="str" cm="1">
        <f t="array" ref="A390">IF(Tasks[[#This Row],[Task]]="","","T-"&amp;TEXT(ROW()-ROW(Tasks[#Headers]),"000"))</f>
        <v/>
      </c>
      <c r="B390" s="15"/>
      <c r="C390" s="15"/>
      <c r="D390" s="15"/>
      <c r="E390" s="15"/>
      <c r="F390" s="16"/>
      <c r="G390" s="16"/>
      <c r="H390" s="16"/>
      <c r="I390" s="15"/>
      <c r="J390" s="15"/>
      <c r="K3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0" s="17" t="str">
        <f>IF(Tasks[[#This Row],[Task]]="","",IFERROR(VLOOKUP(IF(Tasks[[#This Row],[Effort]]="","M",Tasks[[#This Row],[Effort]]),EffortTable,2,FALSE),0))</f>
        <v/>
      </c>
      <c r="N390" t="str">
        <f>IF(Tasks[[#This Row],[Task]]="","",IFERROR(MATCH(Tasks[[#This Row],[Status]],{"Late","Blocked","Due soon"},0),9)*100000+N(Tasks[[#This Row],[Due]]))</f>
        <v/>
      </c>
      <c r="O390" t="str" cm="1">
        <f t="array" aca="1" ref="O3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0" t="str" cm="1">
        <f t="array" ref="P3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0" t="str" cm="1">
        <f t="array" ref="Q3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0" t="str" cm="1">
        <f t="array" ref="R3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1" spans="1:18" x14ac:dyDescent="0.25">
      <c r="A391" s="14" t="str" cm="1">
        <f t="array" ref="A391">IF(Tasks[[#This Row],[Task]]="","","T-"&amp;TEXT(ROW()-ROW(Tasks[#Headers]),"000"))</f>
        <v/>
      </c>
      <c r="B391" s="15"/>
      <c r="C391" s="15"/>
      <c r="D391" s="15"/>
      <c r="E391" s="15"/>
      <c r="F391" s="16"/>
      <c r="G391" s="16"/>
      <c r="H391" s="16"/>
      <c r="I391" s="15"/>
      <c r="J391" s="15"/>
      <c r="K3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1" s="17" t="str">
        <f>IF(Tasks[[#This Row],[Task]]="","",IFERROR(VLOOKUP(IF(Tasks[[#This Row],[Effort]]="","M",Tasks[[#This Row],[Effort]]),EffortTable,2,FALSE),0))</f>
        <v/>
      </c>
      <c r="N391" t="str">
        <f>IF(Tasks[[#This Row],[Task]]="","",IFERROR(MATCH(Tasks[[#This Row],[Status]],{"Late","Blocked","Due soon"},0),9)*100000+N(Tasks[[#This Row],[Due]]))</f>
        <v/>
      </c>
      <c r="O391" t="str" cm="1">
        <f t="array" aca="1" ref="O3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1" t="str" cm="1">
        <f t="array" ref="P3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1" t="str" cm="1">
        <f t="array" ref="Q3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1" t="str" cm="1">
        <f t="array" ref="R3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2" spans="1:18" x14ac:dyDescent="0.25">
      <c r="A392" s="14" t="str" cm="1">
        <f t="array" ref="A392">IF(Tasks[[#This Row],[Task]]="","","T-"&amp;TEXT(ROW()-ROW(Tasks[#Headers]),"000"))</f>
        <v/>
      </c>
      <c r="B392" s="15"/>
      <c r="C392" s="15"/>
      <c r="D392" s="15"/>
      <c r="E392" s="15"/>
      <c r="F392" s="16"/>
      <c r="G392" s="16"/>
      <c r="H392" s="16"/>
      <c r="I392" s="15"/>
      <c r="J392" s="15"/>
      <c r="K3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2" s="17" t="str">
        <f>IF(Tasks[[#This Row],[Task]]="","",IFERROR(VLOOKUP(IF(Tasks[[#This Row],[Effort]]="","M",Tasks[[#This Row],[Effort]]),EffortTable,2,FALSE),0))</f>
        <v/>
      </c>
      <c r="N392" t="str">
        <f>IF(Tasks[[#This Row],[Task]]="","",IFERROR(MATCH(Tasks[[#This Row],[Status]],{"Late","Blocked","Due soon"},0),9)*100000+N(Tasks[[#This Row],[Due]]))</f>
        <v/>
      </c>
      <c r="O392" t="str" cm="1">
        <f t="array" aca="1" ref="O3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2" t="str" cm="1">
        <f t="array" ref="P3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2" t="str" cm="1">
        <f t="array" ref="Q3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2" t="str" cm="1">
        <f t="array" ref="R3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3" spans="1:18" x14ac:dyDescent="0.25">
      <c r="A393" s="14" t="str" cm="1">
        <f t="array" ref="A393">IF(Tasks[[#This Row],[Task]]="","","T-"&amp;TEXT(ROW()-ROW(Tasks[#Headers]),"000"))</f>
        <v/>
      </c>
      <c r="B393" s="15"/>
      <c r="C393" s="15"/>
      <c r="D393" s="15"/>
      <c r="E393" s="15"/>
      <c r="F393" s="16"/>
      <c r="G393" s="16"/>
      <c r="H393" s="16"/>
      <c r="I393" s="15"/>
      <c r="J393" s="15"/>
      <c r="K3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3" s="17" t="str">
        <f>IF(Tasks[[#This Row],[Task]]="","",IFERROR(VLOOKUP(IF(Tasks[[#This Row],[Effort]]="","M",Tasks[[#This Row],[Effort]]),EffortTable,2,FALSE),0))</f>
        <v/>
      </c>
      <c r="N393" t="str">
        <f>IF(Tasks[[#This Row],[Task]]="","",IFERROR(MATCH(Tasks[[#This Row],[Status]],{"Late","Blocked","Due soon"},0),9)*100000+N(Tasks[[#This Row],[Due]]))</f>
        <v/>
      </c>
      <c r="O393" t="str" cm="1">
        <f t="array" aca="1" ref="O3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3" t="str" cm="1">
        <f t="array" ref="P3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3" t="str" cm="1">
        <f t="array" ref="Q3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3" t="str" cm="1">
        <f t="array" ref="R3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4" spans="1:18" x14ac:dyDescent="0.25">
      <c r="A394" s="14" t="str" cm="1">
        <f t="array" ref="A394">IF(Tasks[[#This Row],[Task]]="","","T-"&amp;TEXT(ROW()-ROW(Tasks[#Headers]),"000"))</f>
        <v/>
      </c>
      <c r="B394" s="15"/>
      <c r="C394" s="15"/>
      <c r="D394" s="15"/>
      <c r="E394" s="15"/>
      <c r="F394" s="16"/>
      <c r="G394" s="16"/>
      <c r="H394" s="16"/>
      <c r="I394" s="15"/>
      <c r="J394" s="15"/>
      <c r="K3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4" s="17" t="str">
        <f>IF(Tasks[[#This Row],[Task]]="","",IFERROR(VLOOKUP(IF(Tasks[[#This Row],[Effort]]="","M",Tasks[[#This Row],[Effort]]),EffortTable,2,FALSE),0))</f>
        <v/>
      </c>
      <c r="N394" t="str">
        <f>IF(Tasks[[#This Row],[Task]]="","",IFERROR(MATCH(Tasks[[#This Row],[Status]],{"Late","Blocked","Due soon"},0),9)*100000+N(Tasks[[#This Row],[Due]]))</f>
        <v/>
      </c>
      <c r="O394" t="str" cm="1">
        <f t="array" aca="1" ref="O3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4" t="str" cm="1">
        <f t="array" ref="P3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4" t="str" cm="1">
        <f t="array" ref="Q3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4" t="str" cm="1">
        <f t="array" ref="R3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5" spans="1:18" x14ac:dyDescent="0.25">
      <c r="A395" s="14" t="str" cm="1">
        <f t="array" ref="A395">IF(Tasks[[#This Row],[Task]]="","","T-"&amp;TEXT(ROW()-ROW(Tasks[#Headers]),"000"))</f>
        <v/>
      </c>
      <c r="B395" s="15"/>
      <c r="C395" s="15"/>
      <c r="D395" s="15"/>
      <c r="E395" s="15"/>
      <c r="F395" s="16"/>
      <c r="G395" s="16"/>
      <c r="H395" s="16"/>
      <c r="I395" s="15"/>
      <c r="J395" s="15"/>
      <c r="K3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5" s="17" t="str">
        <f>IF(Tasks[[#This Row],[Task]]="","",IFERROR(VLOOKUP(IF(Tasks[[#This Row],[Effort]]="","M",Tasks[[#This Row],[Effort]]),EffortTable,2,FALSE),0))</f>
        <v/>
      </c>
      <c r="N395" t="str">
        <f>IF(Tasks[[#This Row],[Task]]="","",IFERROR(MATCH(Tasks[[#This Row],[Status]],{"Late","Blocked","Due soon"},0),9)*100000+N(Tasks[[#This Row],[Due]]))</f>
        <v/>
      </c>
      <c r="O395" t="str" cm="1">
        <f t="array" aca="1" ref="O3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5" t="str" cm="1">
        <f t="array" ref="P3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5" t="str" cm="1">
        <f t="array" ref="Q3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5" t="str" cm="1">
        <f t="array" ref="R3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6" spans="1:18" x14ac:dyDescent="0.25">
      <c r="A396" s="14" t="str" cm="1">
        <f t="array" ref="A396">IF(Tasks[[#This Row],[Task]]="","","T-"&amp;TEXT(ROW()-ROW(Tasks[#Headers]),"000"))</f>
        <v/>
      </c>
      <c r="B396" s="15"/>
      <c r="C396" s="15"/>
      <c r="D396" s="15"/>
      <c r="E396" s="15"/>
      <c r="F396" s="16"/>
      <c r="G396" s="16"/>
      <c r="H396" s="16"/>
      <c r="I396" s="15"/>
      <c r="J396" s="15"/>
      <c r="K3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6" s="17" t="str">
        <f>IF(Tasks[[#This Row],[Task]]="","",IFERROR(VLOOKUP(IF(Tasks[[#This Row],[Effort]]="","M",Tasks[[#This Row],[Effort]]),EffortTable,2,FALSE),0))</f>
        <v/>
      </c>
      <c r="N396" t="str">
        <f>IF(Tasks[[#This Row],[Task]]="","",IFERROR(MATCH(Tasks[[#This Row],[Status]],{"Late","Blocked","Due soon"},0),9)*100000+N(Tasks[[#This Row],[Due]]))</f>
        <v/>
      </c>
      <c r="O396" t="str" cm="1">
        <f t="array" aca="1" ref="O3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6" t="str" cm="1">
        <f t="array" ref="P3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6" t="str" cm="1">
        <f t="array" ref="Q3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6" t="str" cm="1">
        <f t="array" ref="R3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7" spans="1:18" x14ac:dyDescent="0.25">
      <c r="A397" s="14" t="str" cm="1">
        <f t="array" ref="A397">IF(Tasks[[#This Row],[Task]]="","","T-"&amp;TEXT(ROW()-ROW(Tasks[#Headers]),"000"))</f>
        <v/>
      </c>
      <c r="B397" s="15"/>
      <c r="C397" s="15"/>
      <c r="D397" s="15"/>
      <c r="E397" s="15"/>
      <c r="F397" s="16"/>
      <c r="G397" s="16"/>
      <c r="H397" s="16"/>
      <c r="I397" s="15"/>
      <c r="J397" s="15"/>
      <c r="K3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7" s="17" t="str">
        <f>IF(Tasks[[#This Row],[Task]]="","",IFERROR(VLOOKUP(IF(Tasks[[#This Row],[Effort]]="","M",Tasks[[#This Row],[Effort]]),EffortTable,2,FALSE),0))</f>
        <v/>
      </c>
      <c r="N397" t="str">
        <f>IF(Tasks[[#This Row],[Task]]="","",IFERROR(MATCH(Tasks[[#This Row],[Status]],{"Late","Blocked","Due soon"},0),9)*100000+N(Tasks[[#This Row],[Due]]))</f>
        <v/>
      </c>
      <c r="O397" t="str" cm="1">
        <f t="array" aca="1" ref="O3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7" t="str" cm="1">
        <f t="array" ref="P3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7" t="str" cm="1">
        <f t="array" ref="Q3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7" t="str" cm="1">
        <f t="array" ref="R3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8" spans="1:18" x14ac:dyDescent="0.25">
      <c r="A398" s="14" t="str" cm="1">
        <f t="array" ref="A398">IF(Tasks[[#This Row],[Task]]="","","T-"&amp;TEXT(ROW()-ROW(Tasks[#Headers]),"000"))</f>
        <v/>
      </c>
      <c r="B398" s="15"/>
      <c r="C398" s="15"/>
      <c r="D398" s="15"/>
      <c r="E398" s="15"/>
      <c r="F398" s="16"/>
      <c r="G398" s="16"/>
      <c r="H398" s="16"/>
      <c r="I398" s="15"/>
      <c r="J398" s="15"/>
      <c r="K3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8" s="17" t="str">
        <f>IF(Tasks[[#This Row],[Task]]="","",IFERROR(VLOOKUP(IF(Tasks[[#This Row],[Effort]]="","M",Tasks[[#This Row],[Effort]]),EffortTable,2,FALSE),0))</f>
        <v/>
      </c>
      <c r="N398" t="str">
        <f>IF(Tasks[[#This Row],[Task]]="","",IFERROR(MATCH(Tasks[[#This Row],[Status]],{"Late","Blocked","Due soon"},0),9)*100000+N(Tasks[[#This Row],[Due]]))</f>
        <v/>
      </c>
      <c r="O398" t="str" cm="1">
        <f t="array" aca="1" ref="O3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8" t="str" cm="1">
        <f t="array" ref="P3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8" t="str" cm="1">
        <f t="array" ref="Q3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8" t="str" cm="1">
        <f t="array" ref="R3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399" spans="1:18" x14ac:dyDescent="0.25">
      <c r="A399" s="14" t="str" cm="1">
        <f t="array" ref="A399">IF(Tasks[[#This Row],[Task]]="","","T-"&amp;TEXT(ROW()-ROW(Tasks[#Headers]),"000"))</f>
        <v/>
      </c>
      <c r="B399" s="15"/>
      <c r="C399" s="15"/>
      <c r="D399" s="15"/>
      <c r="E399" s="15"/>
      <c r="F399" s="16"/>
      <c r="G399" s="16"/>
      <c r="H399" s="16"/>
      <c r="I399" s="15"/>
      <c r="J399" s="15"/>
      <c r="K3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3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399" s="17" t="str">
        <f>IF(Tasks[[#This Row],[Task]]="","",IFERROR(VLOOKUP(IF(Tasks[[#This Row],[Effort]]="","M",Tasks[[#This Row],[Effort]]),EffortTable,2,FALSE),0))</f>
        <v/>
      </c>
      <c r="N399" t="str">
        <f>IF(Tasks[[#This Row],[Task]]="","",IFERROR(MATCH(Tasks[[#This Row],[Status]],{"Late","Blocked","Due soon"},0),9)*100000+N(Tasks[[#This Row],[Due]]))</f>
        <v/>
      </c>
      <c r="O399" t="str" cm="1">
        <f t="array" aca="1" ref="O3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399" t="str" cm="1">
        <f t="array" ref="P3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399" t="str" cm="1">
        <f t="array" ref="Q3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399" t="str" cm="1">
        <f t="array" ref="R3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0" spans="1:18" x14ac:dyDescent="0.25">
      <c r="A400" s="14" t="str" cm="1">
        <f t="array" ref="A400">IF(Tasks[[#This Row],[Task]]="","","T-"&amp;TEXT(ROW()-ROW(Tasks[#Headers]),"000"))</f>
        <v/>
      </c>
      <c r="B400" s="15"/>
      <c r="C400" s="15"/>
      <c r="D400" s="15"/>
      <c r="E400" s="15"/>
      <c r="F400" s="16"/>
      <c r="G400" s="16"/>
      <c r="H400" s="16"/>
      <c r="I400" s="15"/>
      <c r="J400" s="15"/>
      <c r="K4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0" s="17" t="str">
        <f>IF(Tasks[[#This Row],[Task]]="","",IFERROR(VLOOKUP(IF(Tasks[[#This Row],[Effort]]="","M",Tasks[[#This Row],[Effort]]),EffortTable,2,FALSE),0))</f>
        <v/>
      </c>
      <c r="N400" t="str">
        <f>IF(Tasks[[#This Row],[Task]]="","",IFERROR(MATCH(Tasks[[#This Row],[Status]],{"Late","Blocked","Due soon"},0),9)*100000+N(Tasks[[#This Row],[Due]]))</f>
        <v/>
      </c>
      <c r="O400" t="str" cm="1">
        <f t="array" aca="1" ref="O4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0" t="str" cm="1">
        <f t="array" ref="P4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0" t="str" cm="1">
        <f t="array" ref="Q4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0" t="str" cm="1">
        <f t="array" ref="R4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1" spans="1:18" x14ac:dyDescent="0.25">
      <c r="A401" s="14" t="str" cm="1">
        <f t="array" ref="A401">IF(Tasks[[#This Row],[Task]]="","","T-"&amp;TEXT(ROW()-ROW(Tasks[#Headers]),"000"))</f>
        <v/>
      </c>
      <c r="B401" s="15"/>
      <c r="C401" s="15"/>
      <c r="D401" s="15"/>
      <c r="E401" s="15"/>
      <c r="F401" s="16"/>
      <c r="G401" s="16"/>
      <c r="H401" s="16"/>
      <c r="I401" s="15"/>
      <c r="J401" s="15"/>
      <c r="K4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1" s="17" t="str">
        <f>IF(Tasks[[#This Row],[Task]]="","",IFERROR(VLOOKUP(IF(Tasks[[#This Row],[Effort]]="","M",Tasks[[#This Row],[Effort]]),EffortTable,2,FALSE),0))</f>
        <v/>
      </c>
      <c r="N401" t="str">
        <f>IF(Tasks[[#This Row],[Task]]="","",IFERROR(MATCH(Tasks[[#This Row],[Status]],{"Late","Blocked","Due soon"},0),9)*100000+N(Tasks[[#This Row],[Due]]))</f>
        <v/>
      </c>
      <c r="O401" t="str" cm="1">
        <f t="array" aca="1" ref="O4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1" t="str" cm="1">
        <f t="array" ref="P4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1" t="str" cm="1">
        <f t="array" ref="Q4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1" t="str" cm="1">
        <f t="array" ref="R4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2" spans="1:18" x14ac:dyDescent="0.25">
      <c r="A402" s="14" t="str" cm="1">
        <f t="array" ref="A402">IF(Tasks[[#This Row],[Task]]="","","T-"&amp;TEXT(ROW()-ROW(Tasks[#Headers]),"000"))</f>
        <v/>
      </c>
      <c r="B402" s="15"/>
      <c r="C402" s="15"/>
      <c r="D402" s="15"/>
      <c r="E402" s="15"/>
      <c r="F402" s="16"/>
      <c r="G402" s="16"/>
      <c r="H402" s="16"/>
      <c r="I402" s="15"/>
      <c r="J402" s="15"/>
      <c r="K4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2" s="17" t="str">
        <f>IF(Tasks[[#This Row],[Task]]="","",IFERROR(VLOOKUP(IF(Tasks[[#This Row],[Effort]]="","M",Tasks[[#This Row],[Effort]]),EffortTable,2,FALSE),0))</f>
        <v/>
      </c>
      <c r="N402" t="str">
        <f>IF(Tasks[[#This Row],[Task]]="","",IFERROR(MATCH(Tasks[[#This Row],[Status]],{"Late","Blocked","Due soon"},0),9)*100000+N(Tasks[[#This Row],[Due]]))</f>
        <v/>
      </c>
      <c r="O402" t="str" cm="1">
        <f t="array" aca="1" ref="O4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2" t="str" cm="1">
        <f t="array" ref="P4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2" t="str" cm="1">
        <f t="array" ref="Q4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2" t="str" cm="1">
        <f t="array" ref="R4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3" spans="1:18" x14ac:dyDescent="0.25">
      <c r="A403" s="14" t="str" cm="1">
        <f t="array" ref="A403">IF(Tasks[[#This Row],[Task]]="","","T-"&amp;TEXT(ROW()-ROW(Tasks[#Headers]),"000"))</f>
        <v/>
      </c>
      <c r="B403" s="15"/>
      <c r="C403" s="15"/>
      <c r="D403" s="15"/>
      <c r="E403" s="15"/>
      <c r="F403" s="16"/>
      <c r="G403" s="16"/>
      <c r="H403" s="16"/>
      <c r="I403" s="15"/>
      <c r="J403" s="15"/>
      <c r="K4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3" s="17" t="str">
        <f>IF(Tasks[[#This Row],[Task]]="","",IFERROR(VLOOKUP(IF(Tasks[[#This Row],[Effort]]="","M",Tasks[[#This Row],[Effort]]),EffortTable,2,FALSE),0))</f>
        <v/>
      </c>
      <c r="N403" t="str">
        <f>IF(Tasks[[#This Row],[Task]]="","",IFERROR(MATCH(Tasks[[#This Row],[Status]],{"Late","Blocked","Due soon"},0),9)*100000+N(Tasks[[#This Row],[Due]]))</f>
        <v/>
      </c>
      <c r="O403" t="str" cm="1">
        <f t="array" aca="1" ref="O4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3" t="str" cm="1">
        <f t="array" ref="P4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3" t="str" cm="1">
        <f t="array" ref="Q4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3" t="str" cm="1">
        <f t="array" ref="R4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4" spans="1:18" x14ac:dyDescent="0.25">
      <c r="A404" s="14" t="str" cm="1">
        <f t="array" ref="A404">IF(Tasks[[#This Row],[Task]]="","","T-"&amp;TEXT(ROW()-ROW(Tasks[#Headers]),"000"))</f>
        <v/>
      </c>
      <c r="B404" s="15"/>
      <c r="C404" s="15"/>
      <c r="D404" s="15"/>
      <c r="E404" s="15"/>
      <c r="F404" s="16"/>
      <c r="G404" s="16"/>
      <c r="H404" s="16"/>
      <c r="I404" s="15"/>
      <c r="J404" s="15"/>
      <c r="K4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4" s="17" t="str">
        <f>IF(Tasks[[#This Row],[Task]]="","",IFERROR(VLOOKUP(IF(Tasks[[#This Row],[Effort]]="","M",Tasks[[#This Row],[Effort]]),EffortTable,2,FALSE),0))</f>
        <v/>
      </c>
      <c r="N404" t="str">
        <f>IF(Tasks[[#This Row],[Task]]="","",IFERROR(MATCH(Tasks[[#This Row],[Status]],{"Late","Blocked","Due soon"},0),9)*100000+N(Tasks[[#This Row],[Due]]))</f>
        <v/>
      </c>
      <c r="O404" t="str" cm="1">
        <f t="array" aca="1" ref="O4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4" t="str" cm="1">
        <f t="array" ref="P4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4" t="str" cm="1">
        <f t="array" ref="Q4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4" t="str" cm="1">
        <f t="array" ref="R4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5" spans="1:18" x14ac:dyDescent="0.25">
      <c r="A405" s="14" t="str" cm="1">
        <f t="array" ref="A405">IF(Tasks[[#This Row],[Task]]="","","T-"&amp;TEXT(ROW()-ROW(Tasks[#Headers]),"000"))</f>
        <v/>
      </c>
      <c r="B405" s="15"/>
      <c r="C405" s="15"/>
      <c r="D405" s="15"/>
      <c r="E405" s="15"/>
      <c r="F405" s="16"/>
      <c r="G405" s="16"/>
      <c r="H405" s="16"/>
      <c r="I405" s="15"/>
      <c r="J405" s="15"/>
      <c r="K4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5" s="17" t="str">
        <f>IF(Tasks[[#This Row],[Task]]="","",IFERROR(VLOOKUP(IF(Tasks[[#This Row],[Effort]]="","M",Tasks[[#This Row],[Effort]]),EffortTable,2,FALSE),0))</f>
        <v/>
      </c>
      <c r="N405" t="str">
        <f>IF(Tasks[[#This Row],[Task]]="","",IFERROR(MATCH(Tasks[[#This Row],[Status]],{"Late","Blocked","Due soon"},0),9)*100000+N(Tasks[[#This Row],[Due]]))</f>
        <v/>
      </c>
      <c r="O405" t="str" cm="1">
        <f t="array" aca="1" ref="O4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5" t="str" cm="1">
        <f t="array" ref="P4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5" t="str" cm="1">
        <f t="array" ref="Q4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5" t="str" cm="1">
        <f t="array" ref="R4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6" spans="1:18" x14ac:dyDescent="0.25">
      <c r="A406" s="14" t="str" cm="1">
        <f t="array" ref="A406">IF(Tasks[[#This Row],[Task]]="","","T-"&amp;TEXT(ROW()-ROW(Tasks[#Headers]),"000"))</f>
        <v/>
      </c>
      <c r="B406" s="15"/>
      <c r="C406" s="15"/>
      <c r="D406" s="15"/>
      <c r="E406" s="15"/>
      <c r="F406" s="16"/>
      <c r="G406" s="16"/>
      <c r="H406" s="16"/>
      <c r="I406" s="15"/>
      <c r="J406" s="15"/>
      <c r="K4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6" s="17" t="str">
        <f>IF(Tasks[[#This Row],[Task]]="","",IFERROR(VLOOKUP(IF(Tasks[[#This Row],[Effort]]="","M",Tasks[[#This Row],[Effort]]),EffortTable,2,FALSE),0))</f>
        <v/>
      </c>
      <c r="N406" t="str">
        <f>IF(Tasks[[#This Row],[Task]]="","",IFERROR(MATCH(Tasks[[#This Row],[Status]],{"Late","Blocked","Due soon"},0),9)*100000+N(Tasks[[#This Row],[Due]]))</f>
        <v/>
      </c>
      <c r="O406" t="str" cm="1">
        <f t="array" aca="1" ref="O4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6" t="str" cm="1">
        <f t="array" ref="P4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6" t="str" cm="1">
        <f t="array" ref="Q4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6" t="str" cm="1">
        <f t="array" ref="R4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7" spans="1:18" x14ac:dyDescent="0.25">
      <c r="A407" s="14" t="str" cm="1">
        <f t="array" ref="A407">IF(Tasks[[#This Row],[Task]]="","","T-"&amp;TEXT(ROW()-ROW(Tasks[#Headers]),"000"))</f>
        <v/>
      </c>
      <c r="B407" s="15"/>
      <c r="C407" s="15"/>
      <c r="D407" s="15"/>
      <c r="E407" s="15"/>
      <c r="F407" s="16"/>
      <c r="G407" s="16"/>
      <c r="H407" s="16"/>
      <c r="I407" s="15"/>
      <c r="J407" s="15"/>
      <c r="K4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7" s="17" t="str">
        <f>IF(Tasks[[#This Row],[Task]]="","",IFERROR(VLOOKUP(IF(Tasks[[#This Row],[Effort]]="","M",Tasks[[#This Row],[Effort]]),EffortTable,2,FALSE),0))</f>
        <v/>
      </c>
      <c r="N407" t="str">
        <f>IF(Tasks[[#This Row],[Task]]="","",IFERROR(MATCH(Tasks[[#This Row],[Status]],{"Late","Blocked","Due soon"},0),9)*100000+N(Tasks[[#This Row],[Due]]))</f>
        <v/>
      </c>
      <c r="O407" t="str" cm="1">
        <f t="array" aca="1" ref="O4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7" t="str" cm="1">
        <f t="array" ref="P4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7" t="str" cm="1">
        <f t="array" ref="Q4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7" t="str" cm="1">
        <f t="array" ref="R4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8" spans="1:18" x14ac:dyDescent="0.25">
      <c r="A408" s="14" t="str" cm="1">
        <f t="array" ref="A408">IF(Tasks[[#This Row],[Task]]="","","T-"&amp;TEXT(ROW()-ROW(Tasks[#Headers]),"000"))</f>
        <v/>
      </c>
      <c r="B408" s="15"/>
      <c r="C408" s="15"/>
      <c r="D408" s="15"/>
      <c r="E408" s="15"/>
      <c r="F408" s="16"/>
      <c r="G408" s="16"/>
      <c r="H408" s="16"/>
      <c r="I408" s="15"/>
      <c r="J408" s="15"/>
      <c r="K4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8" s="17" t="str">
        <f>IF(Tasks[[#This Row],[Task]]="","",IFERROR(VLOOKUP(IF(Tasks[[#This Row],[Effort]]="","M",Tasks[[#This Row],[Effort]]),EffortTable,2,FALSE),0))</f>
        <v/>
      </c>
      <c r="N408" t="str">
        <f>IF(Tasks[[#This Row],[Task]]="","",IFERROR(MATCH(Tasks[[#This Row],[Status]],{"Late","Blocked","Due soon"},0),9)*100000+N(Tasks[[#This Row],[Due]]))</f>
        <v/>
      </c>
      <c r="O408" t="str" cm="1">
        <f t="array" aca="1" ref="O4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8" t="str" cm="1">
        <f t="array" ref="P4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8" t="str" cm="1">
        <f t="array" ref="Q4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8" t="str" cm="1">
        <f t="array" ref="R4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09" spans="1:18" x14ac:dyDescent="0.25">
      <c r="A409" s="14" t="str" cm="1">
        <f t="array" ref="A409">IF(Tasks[[#This Row],[Task]]="","","T-"&amp;TEXT(ROW()-ROW(Tasks[#Headers]),"000"))</f>
        <v/>
      </c>
      <c r="B409" s="15"/>
      <c r="C409" s="15"/>
      <c r="D409" s="15"/>
      <c r="E409" s="15"/>
      <c r="F409" s="16"/>
      <c r="G409" s="16"/>
      <c r="H409" s="16"/>
      <c r="I409" s="15"/>
      <c r="J409" s="15"/>
      <c r="K4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09" s="17" t="str">
        <f>IF(Tasks[[#This Row],[Task]]="","",IFERROR(VLOOKUP(IF(Tasks[[#This Row],[Effort]]="","M",Tasks[[#This Row],[Effort]]),EffortTable,2,FALSE),0))</f>
        <v/>
      </c>
      <c r="N409" t="str">
        <f>IF(Tasks[[#This Row],[Task]]="","",IFERROR(MATCH(Tasks[[#This Row],[Status]],{"Late","Blocked","Due soon"},0),9)*100000+N(Tasks[[#This Row],[Due]]))</f>
        <v/>
      </c>
      <c r="O409" t="str" cm="1">
        <f t="array" aca="1" ref="O4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09" t="str" cm="1">
        <f t="array" ref="P4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09" t="str" cm="1">
        <f t="array" ref="Q4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09" t="str" cm="1">
        <f t="array" ref="R4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0" spans="1:18" x14ac:dyDescent="0.25">
      <c r="A410" s="14" t="str" cm="1">
        <f t="array" ref="A410">IF(Tasks[[#This Row],[Task]]="","","T-"&amp;TEXT(ROW()-ROW(Tasks[#Headers]),"000"))</f>
        <v/>
      </c>
      <c r="B410" s="15"/>
      <c r="C410" s="15"/>
      <c r="D410" s="15"/>
      <c r="E410" s="15"/>
      <c r="F410" s="16"/>
      <c r="G410" s="16"/>
      <c r="H410" s="16"/>
      <c r="I410" s="15"/>
      <c r="J410" s="15"/>
      <c r="K4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0" s="17" t="str">
        <f>IF(Tasks[[#This Row],[Task]]="","",IFERROR(VLOOKUP(IF(Tasks[[#This Row],[Effort]]="","M",Tasks[[#This Row],[Effort]]),EffortTable,2,FALSE),0))</f>
        <v/>
      </c>
      <c r="N410" t="str">
        <f>IF(Tasks[[#This Row],[Task]]="","",IFERROR(MATCH(Tasks[[#This Row],[Status]],{"Late","Blocked","Due soon"},0),9)*100000+N(Tasks[[#This Row],[Due]]))</f>
        <v/>
      </c>
      <c r="O410" t="str" cm="1">
        <f t="array" aca="1" ref="O4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0" t="str" cm="1">
        <f t="array" ref="P4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0" t="str" cm="1">
        <f t="array" ref="Q4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0" t="str" cm="1">
        <f t="array" ref="R4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1" spans="1:18" x14ac:dyDescent="0.25">
      <c r="A411" s="14" t="str" cm="1">
        <f t="array" ref="A411">IF(Tasks[[#This Row],[Task]]="","","T-"&amp;TEXT(ROW()-ROW(Tasks[#Headers]),"000"))</f>
        <v/>
      </c>
      <c r="B411" s="15"/>
      <c r="C411" s="15"/>
      <c r="D411" s="15"/>
      <c r="E411" s="15"/>
      <c r="F411" s="16"/>
      <c r="G411" s="16"/>
      <c r="H411" s="16"/>
      <c r="I411" s="15"/>
      <c r="J411" s="15"/>
      <c r="K4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1" s="17" t="str">
        <f>IF(Tasks[[#This Row],[Task]]="","",IFERROR(VLOOKUP(IF(Tasks[[#This Row],[Effort]]="","M",Tasks[[#This Row],[Effort]]),EffortTable,2,FALSE),0))</f>
        <v/>
      </c>
      <c r="N411" t="str">
        <f>IF(Tasks[[#This Row],[Task]]="","",IFERROR(MATCH(Tasks[[#This Row],[Status]],{"Late","Blocked","Due soon"},0),9)*100000+N(Tasks[[#This Row],[Due]]))</f>
        <v/>
      </c>
      <c r="O411" t="str" cm="1">
        <f t="array" aca="1" ref="O4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1" t="str" cm="1">
        <f t="array" ref="P4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1" t="str" cm="1">
        <f t="array" ref="Q4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1" t="str" cm="1">
        <f t="array" ref="R4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2" spans="1:18" x14ac:dyDescent="0.25">
      <c r="A412" s="14" t="str" cm="1">
        <f t="array" ref="A412">IF(Tasks[[#This Row],[Task]]="","","T-"&amp;TEXT(ROW()-ROW(Tasks[#Headers]),"000"))</f>
        <v/>
      </c>
      <c r="B412" s="15"/>
      <c r="C412" s="15"/>
      <c r="D412" s="15"/>
      <c r="E412" s="15"/>
      <c r="F412" s="16"/>
      <c r="G412" s="16"/>
      <c r="H412" s="16"/>
      <c r="I412" s="15"/>
      <c r="J412" s="15"/>
      <c r="K4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2" s="17" t="str">
        <f>IF(Tasks[[#This Row],[Task]]="","",IFERROR(VLOOKUP(IF(Tasks[[#This Row],[Effort]]="","M",Tasks[[#This Row],[Effort]]),EffortTable,2,FALSE),0))</f>
        <v/>
      </c>
      <c r="N412" t="str">
        <f>IF(Tasks[[#This Row],[Task]]="","",IFERROR(MATCH(Tasks[[#This Row],[Status]],{"Late","Blocked","Due soon"},0),9)*100000+N(Tasks[[#This Row],[Due]]))</f>
        <v/>
      </c>
      <c r="O412" t="str" cm="1">
        <f t="array" aca="1" ref="O4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2" t="str" cm="1">
        <f t="array" ref="P4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2" t="str" cm="1">
        <f t="array" ref="Q4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2" t="str" cm="1">
        <f t="array" ref="R4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3" spans="1:18" x14ac:dyDescent="0.25">
      <c r="A413" s="14" t="str" cm="1">
        <f t="array" ref="A413">IF(Tasks[[#This Row],[Task]]="","","T-"&amp;TEXT(ROW()-ROW(Tasks[#Headers]),"000"))</f>
        <v/>
      </c>
      <c r="B413" s="15"/>
      <c r="C413" s="15"/>
      <c r="D413" s="15"/>
      <c r="E413" s="15"/>
      <c r="F413" s="16"/>
      <c r="G413" s="16"/>
      <c r="H413" s="16"/>
      <c r="I413" s="15"/>
      <c r="J413" s="15"/>
      <c r="K4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3" s="17" t="str">
        <f>IF(Tasks[[#This Row],[Task]]="","",IFERROR(VLOOKUP(IF(Tasks[[#This Row],[Effort]]="","M",Tasks[[#This Row],[Effort]]),EffortTable,2,FALSE),0))</f>
        <v/>
      </c>
      <c r="N413" t="str">
        <f>IF(Tasks[[#This Row],[Task]]="","",IFERROR(MATCH(Tasks[[#This Row],[Status]],{"Late","Blocked","Due soon"},0),9)*100000+N(Tasks[[#This Row],[Due]]))</f>
        <v/>
      </c>
      <c r="O413" t="str" cm="1">
        <f t="array" aca="1" ref="O4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3" t="str" cm="1">
        <f t="array" ref="P4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3" t="str" cm="1">
        <f t="array" ref="Q4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3" t="str" cm="1">
        <f t="array" ref="R4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4" spans="1:18" x14ac:dyDescent="0.25">
      <c r="A414" s="14" t="str" cm="1">
        <f t="array" ref="A414">IF(Tasks[[#This Row],[Task]]="","","T-"&amp;TEXT(ROW()-ROW(Tasks[#Headers]),"000"))</f>
        <v/>
      </c>
      <c r="B414" s="15"/>
      <c r="C414" s="15"/>
      <c r="D414" s="15"/>
      <c r="E414" s="15"/>
      <c r="F414" s="16"/>
      <c r="G414" s="16"/>
      <c r="H414" s="16"/>
      <c r="I414" s="15"/>
      <c r="J414" s="15"/>
      <c r="K4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4" s="17" t="str">
        <f>IF(Tasks[[#This Row],[Task]]="","",IFERROR(VLOOKUP(IF(Tasks[[#This Row],[Effort]]="","M",Tasks[[#This Row],[Effort]]),EffortTable,2,FALSE),0))</f>
        <v/>
      </c>
      <c r="N414" t="str">
        <f>IF(Tasks[[#This Row],[Task]]="","",IFERROR(MATCH(Tasks[[#This Row],[Status]],{"Late","Blocked","Due soon"},0),9)*100000+N(Tasks[[#This Row],[Due]]))</f>
        <v/>
      </c>
      <c r="O414" t="str" cm="1">
        <f t="array" aca="1" ref="O4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4" t="str" cm="1">
        <f t="array" ref="P4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4" t="str" cm="1">
        <f t="array" ref="Q4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4" t="str" cm="1">
        <f t="array" ref="R4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5" spans="1:18" x14ac:dyDescent="0.25">
      <c r="A415" s="14" t="str" cm="1">
        <f t="array" ref="A415">IF(Tasks[[#This Row],[Task]]="","","T-"&amp;TEXT(ROW()-ROW(Tasks[#Headers]),"000"))</f>
        <v/>
      </c>
      <c r="B415" s="15"/>
      <c r="C415" s="15"/>
      <c r="D415" s="15"/>
      <c r="E415" s="15"/>
      <c r="F415" s="16"/>
      <c r="G415" s="16"/>
      <c r="H415" s="16"/>
      <c r="I415" s="15"/>
      <c r="J415" s="15"/>
      <c r="K4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5" s="17" t="str">
        <f>IF(Tasks[[#This Row],[Task]]="","",IFERROR(VLOOKUP(IF(Tasks[[#This Row],[Effort]]="","M",Tasks[[#This Row],[Effort]]),EffortTable,2,FALSE),0))</f>
        <v/>
      </c>
      <c r="N415" t="str">
        <f>IF(Tasks[[#This Row],[Task]]="","",IFERROR(MATCH(Tasks[[#This Row],[Status]],{"Late","Blocked","Due soon"},0),9)*100000+N(Tasks[[#This Row],[Due]]))</f>
        <v/>
      </c>
      <c r="O415" t="str" cm="1">
        <f t="array" aca="1" ref="O4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5" t="str" cm="1">
        <f t="array" ref="P4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5" t="str" cm="1">
        <f t="array" ref="Q4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5" t="str" cm="1">
        <f t="array" ref="R4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6" spans="1:18" x14ac:dyDescent="0.25">
      <c r="A416" s="14" t="str" cm="1">
        <f t="array" ref="A416">IF(Tasks[[#This Row],[Task]]="","","T-"&amp;TEXT(ROW()-ROW(Tasks[#Headers]),"000"))</f>
        <v/>
      </c>
      <c r="B416" s="15"/>
      <c r="C416" s="15"/>
      <c r="D416" s="15"/>
      <c r="E416" s="15"/>
      <c r="F416" s="16"/>
      <c r="G416" s="16"/>
      <c r="H416" s="16"/>
      <c r="I416" s="15"/>
      <c r="J416" s="15"/>
      <c r="K4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6" s="17" t="str">
        <f>IF(Tasks[[#This Row],[Task]]="","",IFERROR(VLOOKUP(IF(Tasks[[#This Row],[Effort]]="","M",Tasks[[#This Row],[Effort]]),EffortTable,2,FALSE),0))</f>
        <v/>
      </c>
      <c r="N416" t="str">
        <f>IF(Tasks[[#This Row],[Task]]="","",IFERROR(MATCH(Tasks[[#This Row],[Status]],{"Late","Blocked","Due soon"},0),9)*100000+N(Tasks[[#This Row],[Due]]))</f>
        <v/>
      </c>
      <c r="O416" t="str" cm="1">
        <f t="array" aca="1" ref="O4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6" t="str" cm="1">
        <f t="array" ref="P4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6" t="str" cm="1">
        <f t="array" ref="Q4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6" t="str" cm="1">
        <f t="array" ref="R4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7" spans="1:18" x14ac:dyDescent="0.25">
      <c r="A417" s="14" t="str" cm="1">
        <f t="array" ref="A417">IF(Tasks[[#This Row],[Task]]="","","T-"&amp;TEXT(ROW()-ROW(Tasks[#Headers]),"000"))</f>
        <v/>
      </c>
      <c r="B417" s="15"/>
      <c r="C417" s="15"/>
      <c r="D417" s="15"/>
      <c r="E417" s="15"/>
      <c r="F417" s="16"/>
      <c r="G417" s="16"/>
      <c r="H417" s="16"/>
      <c r="I417" s="15"/>
      <c r="J417" s="15"/>
      <c r="K4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7" s="17" t="str">
        <f>IF(Tasks[[#This Row],[Task]]="","",IFERROR(VLOOKUP(IF(Tasks[[#This Row],[Effort]]="","M",Tasks[[#This Row],[Effort]]),EffortTable,2,FALSE),0))</f>
        <v/>
      </c>
      <c r="N417" t="str">
        <f>IF(Tasks[[#This Row],[Task]]="","",IFERROR(MATCH(Tasks[[#This Row],[Status]],{"Late","Blocked","Due soon"},0),9)*100000+N(Tasks[[#This Row],[Due]]))</f>
        <v/>
      </c>
      <c r="O417" t="str" cm="1">
        <f t="array" aca="1" ref="O4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7" t="str" cm="1">
        <f t="array" ref="P4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7" t="str" cm="1">
        <f t="array" ref="Q4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7" t="str" cm="1">
        <f t="array" ref="R4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8" spans="1:18" x14ac:dyDescent="0.25">
      <c r="A418" s="14" t="str" cm="1">
        <f t="array" ref="A418">IF(Tasks[[#This Row],[Task]]="","","T-"&amp;TEXT(ROW()-ROW(Tasks[#Headers]),"000"))</f>
        <v/>
      </c>
      <c r="B418" s="15"/>
      <c r="C418" s="15"/>
      <c r="D418" s="15"/>
      <c r="E418" s="15"/>
      <c r="F418" s="16"/>
      <c r="G418" s="16"/>
      <c r="H418" s="16"/>
      <c r="I418" s="15"/>
      <c r="J418" s="15"/>
      <c r="K4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8" s="17" t="str">
        <f>IF(Tasks[[#This Row],[Task]]="","",IFERROR(VLOOKUP(IF(Tasks[[#This Row],[Effort]]="","M",Tasks[[#This Row],[Effort]]),EffortTable,2,FALSE),0))</f>
        <v/>
      </c>
      <c r="N418" t="str">
        <f>IF(Tasks[[#This Row],[Task]]="","",IFERROR(MATCH(Tasks[[#This Row],[Status]],{"Late","Blocked","Due soon"},0),9)*100000+N(Tasks[[#This Row],[Due]]))</f>
        <v/>
      </c>
      <c r="O418" t="str" cm="1">
        <f t="array" aca="1" ref="O4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8" t="str" cm="1">
        <f t="array" ref="P4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8" t="str" cm="1">
        <f t="array" ref="Q4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8" t="str" cm="1">
        <f t="array" ref="R4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19" spans="1:18" x14ac:dyDescent="0.25">
      <c r="A419" s="14" t="str" cm="1">
        <f t="array" ref="A419">IF(Tasks[[#This Row],[Task]]="","","T-"&amp;TEXT(ROW()-ROW(Tasks[#Headers]),"000"))</f>
        <v/>
      </c>
      <c r="B419" s="15"/>
      <c r="C419" s="15"/>
      <c r="D419" s="15"/>
      <c r="E419" s="15"/>
      <c r="F419" s="16"/>
      <c r="G419" s="16"/>
      <c r="H419" s="16"/>
      <c r="I419" s="15"/>
      <c r="J419" s="15"/>
      <c r="K4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19" s="17" t="str">
        <f>IF(Tasks[[#This Row],[Task]]="","",IFERROR(VLOOKUP(IF(Tasks[[#This Row],[Effort]]="","M",Tasks[[#This Row],[Effort]]),EffortTable,2,FALSE),0))</f>
        <v/>
      </c>
      <c r="N419" t="str">
        <f>IF(Tasks[[#This Row],[Task]]="","",IFERROR(MATCH(Tasks[[#This Row],[Status]],{"Late","Blocked","Due soon"},0),9)*100000+N(Tasks[[#This Row],[Due]]))</f>
        <v/>
      </c>
      <c r="O419" t="str" cm="1">
        <f t="array" aca="1" ref="O4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19" t="str" cm="1">
        <f t="array" ref="P4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19" t="str" cm="1">
        <f t="array" ref="Q4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19" t="str" cm="1">
        <f t="array" ref="R4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0" spans="1:18" x14ac:dyDescent="0.25">
      <c r="A420" s="14" t="str" cm="1">
        <f t="array" ref="A420">IF(Tasks[[#This Row],[Task]]="","","T-"&amp;TEXT(ROW()-ROW(Tasks[#Headers]),"000"))</f>
        <v/>
      </c>
      <c r="B420" s="15"/>
      <c r="C420" s="15"/>
      <c r="D420" s="15"/>
      <c r="E420" s="15"/>
      <c r="F420" s="16"/>
      <c r="G420" s="16"/>
      <c r="H420" s="16"/>
      <c r="I420" s="15"/>
      <c r="J420" s="15"/>
      <c r="K4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0" s="17" t="str">
        <f>IF(Tasks[[#This Row],[Task]]="","",IFERROR(VLOOKUP(IF(Tasks[[#This Row],[Effort]]="","M",Tasks[[#This Row],[Effort]]),EffortTable,2,FALSE),0))</f>
        <v/>
      </c>
      <c r="N420" t="str">
        <f>IF(Tasks[[#This Row],[Task]]="","",IFERROR(MATCH(Tasks[[#This Row],[Status]],{"Late","Blocked","Due soon"},0),9)*100000+N(Tasks[[#This Row],[Due]]))</f>
        <v/>
      </c>
      <c r="O420" t="str" cm="1">
        <f t="array" aca="1" ref="O4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0" t="str" cm="1">
        <f t="array" ref="P4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0" t="str" cm="1">
        <f t="array" ref="Q4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0" t="str" cm="1">
        <f t="array" ref="R4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1" spans="1:18" x14ac:dyDescent="0.25">
      <c r="A421" s="14" t="str" cm="1">
        <f t="array" ref="A421">IF(Tasks[[#This Row],[Task]]="","","T-"&amp;TEXT(ROW()-ROW(Tasks[#Headers]),"000"))</f>
        <v/>
      </c>
      <c r="B421" s="15"/>
      <c r="C421" s="15"/>
      <c r="D421" s="15"/>
      <c r="E421" s="15"/>
      <c r="F421" s="16"/>
      <c r="G421" s="16"/>
      <c r="H421" s="16"/>
      <c r="I421" s="15"/>
      <c r="J421" s="15"/>
      <c r="K4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1" s="17" t="str">
        <f>IF(Tasks[[#This Row],[Task]]="","",IFERROR(VLOOKUP(IF(Tasks[[#This Row],[Effort]]="","M",Tasks[[#This Row],[Effort]]),EffortTable,2,FALSE),0))</f>
        <v/>
      </c>
      <c r="N421" t="str">
        <f>IF(Tasks[[#This Row],[Task]]="","",IFERROR(MATCH(Tasks[[#This Row],[Status]],{"Late","Blocked","Due soon"},0),9)*100000+N(Tasks[[#This Row],[Due]]))</f>
        <v/>
      </c>
      <c r="O421" t="str" cm="1">
        <f t="array" aca="1" ref="O4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1" t="str" cm="1">
        <f t="array" ref="P4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1" t="str" cm="1">
        <f t="array" ref="Q4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1" t="str" cm="1">
        <f t="array" ref="R4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2" spans="1:18" x14ac:dyDescent="0.25">
      <c r="A422" s="14" t="str" cm="1">
        <f t="array" ref="A422">IF(Tasks[[#This Row],[Task]]="","","T-"&amp;TEXT(ROW()-ROW(Tasks[#Headers]),"000"))</f>
        <v/>
      </c>
      <c r="B422" s="15"/>
      <c r="C422" s="15"/>
      <c r="D422" s="15"/>
      <c r="E422" s="15"/>
      <c r="F422" s="16"/>
      <c r="G422" s="16"/>
      <c r="H422" s="16"/>
      <c r="I422" s="15"/>
      <c r="J422" s="15"/>
      <c r="K4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2" s="17" t="str">
        <f>IF(Tasks[[#This Row],[Task]]="","",IFERROR(VLOOKUP(IF(Tasks[[#This Row],[Effort]]="","M",Tasks[[#This Row],[Effort]]),EffortTable,2,FALSE),0))</f>
        <v/>
      </c>
      <c r="N422" t="str">
        <f>IF(Tasks[[#This Row],[Task]]="","",IFERROR(MATCH(Tasks[[#This Row],[Status]],{"Late","Blocked","Due soon"},0),9)*100000+N(Tasks[[#This Row],[Due]]))</f>
        <v/>
      </c>
      <c r="O422" t="str" cm="1">
        <f t="array" aca="1" ref="O4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2" t="str" cm="1">
        <f t="array" ref="P4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2" t="str" cm="1">
        <f t="array" ref="Q4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2" t="str" cm="1">
        <f t="array" ref="R4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3" spans="1:18" x14ac:dyDescent="0.25">
      <c r="A423" s="14" t="str" cm="1">
        <f t="array" ref="A423">IF(Tasks[[#This Row],[Task]]="","","T-"&amp;TEXT(ROW()-ROW(Tasks[#Headers]),"000"))</f>
        <v/>
      </c>
      <c r="B423" s="15"/>
      <c r="C423" s="15"/>
      <c r="D423" s="15"/>
      <c r="E423" s="15"/>
      <c r="F423" s="16"/>
      <c r="G423" s="16"/>
      <c r="H423" s="16"/>
      <c r="I423" s="15"/>
      <c r="J423" s="15"/>
      <c r="K4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3" s="17" t="str">
        <f>IF(Tasks[[#This Row],[Task]]="","",IFERROR(VLOOKUP(IF(Tasks[[#This Row],[Effort]]="","M",Tasks[[#This Row],[Effort]]),EffortTable,2,FALSE),0))</f>
        <v/>
      </c>
      <c r="N423" t="str">
        <f>IF(Tasks[[#This Row],[Task]]="","",IFERROR(MATCH(Tasks[[#This Row],[Status]],{"Late","Blocked","Due soon"},0),9)*100000+N(Tasks[[#This Row],[Due]]))</f>
        <v/>
      </c>
      <c r="O423" t="str" cm="1">
        <f t="array" aca="1" ref="O4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3" t="str" cm="1">
        <f t="array" ref="P4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3" t="str" cm="1">
        <f t="array" ref="Q4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3" t="str" cm="1">
        <f t="array" ref="R4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4" spans="1:18" x14ac:dyDescent="0.25">
      <c r="A424" s="14" t="str" cm="1">
        <f t="array" ref="A424">IF(Tasks[[#This Row],[Task]]="","","T-"&amp;TEXT(ROW()-ROW(Tasks[#Headers]),"000"))</f>
        <v/>
      </c>
      <c r="B424" s="15"/>
      <c r="C424" s="15"/>
      <c r="D424" s="15"/>
      <c r="E424" s="15"/>
      <c r="F424" s="16"/>
      <c r="G424" s="16"/>
      <c r="H424" s="16"/>
      <c r="I424" s="15"/>
      <c r="J424" s="15"/>
      <c r="K4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4" s="17" t="str">
        <f>IF(Tasks[[#This Row],[Task]]="","",IFERROR(VLOOKUP(IF(Tasks[[#This Row],[Effort]]="","M",Tasks[[#This Row],[Effort]]),EffortTable,2,FALSE),0))</f>
        <v/>
      </c>
      <c r="N424" t="str">
        <f>IF(Tasks[[#This Row],[Task]]="","",IFERROR(MATCH(Tasks[[#This Row],[Status]],{"Late","Blocked","Due soon"},0),9)*100000+N(Tasks[[#This Row],[Due]]))</f>
        <v/>
      </c>
      <c r="O424" t="str" cm="1">
        <f t="array" aca="1" ref="O4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4" t="str" cm="1">
        <f t="array" ref="P4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4" t="str" cm="1">
        <f t="array" ref="Q4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4" t="str" cm="1">
        <f t="array" ref="R4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5" spans="1:18" x14ac:dyDescent="0.25">
      <c r="A425" s="14" t="str" cm="1">
        <f t="array" ref="A425">IF(Tasks[[#This Row],[Task]]="","","T-"&amp;TEXT(ROW()-ROW(Tasks[#Headers]),"000"))</f>
        <v/>
      </c>
      <c r="B425" s="15"/>
      <c r="C425" s="15"/>
      <c r="D425" s="15"/>
      <c r="E425" s="15"/>
      <c r="F425" s="16"/>
      <c r="G425" s="16"/>
      <c r="H425" s="16"/>
      <c r="I425" s="15"/>
      <c r="J425" s="15"/>
      <c r="K4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5" s="17" t="str">
        <f>IF(Tasks[[#This Row],[Task]]="","",IFERROR(VLOOKUP(IF(Tasks[[#This Row],[Effort]]="","M",Tasks[[#This Row],[Effort]]),EffortTable,2,FALSE),0))</f>
        <v/>
      </c>
      <c r="N425" t="str">
        <f>IF(Tasks[[#This Row],[Task]]="","",IFERROR(MATCH(Tasks[[#This Row],[Status]],{"Late","Blocked","Due soon"},0),9)*100000+N(Tasks[[#This Row],[Due]]))</f>
        <v/>
      </c>
      <c r="O425" t="str" cm="1">
        <f t="array" aca="1" ref="O4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5" t="str" cm="1">
        <f t="array" ref="P4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5" t="str" cm="1">
        <f t="array" ref="Q4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5" t="str" cm="1">
        <f t="array" ref="R4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6" spans="1:18" x14ac:dyDescent="0.25">
      <c r="A426" s="14" t="str" cm="1">
        <f t="array" ref="A426">IF(Tasks[[#This Row],[Task]]="","","T-"&amp;TEXT(ROW()-ROW(Tasks[#Headers]),"000"))</f>
        <v/>
      </c>
      <c r="B426" s="15"/>
      <c r="C426" s="15"/>
      <c r="D426" s="15"/>
      <c r="E426" s="15"/>
      <c r="F426" s="16"/>
      <c r="G426" s="16"/>
      <c r="H426" s="16"/>
      <c r="I426" s="15"/>
      <c r="J426" s="15"/>
      <c r="K4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6" s="17" t="str">
        <f>IF(Tasks[[#This Row],[Task]]="","",IFERROR(VLOOKUP(IF(Tasks[[#This Row],[Effort]]="","M",Tasks[[#This Row],[Effort]]),EffortTable,2,FALSE),0))</f>
        <v/>
      </c>
      <c r="N426" t="str">
        <f>IF(Tasks[[#This Row],[Task]]="","",IFERROR(MATCH(Tasks[[#This Row],[Status]],{"Late","Blocked","Due soon"},0),9)*100000+N(Tasks[[#This Row],[Due]]))</f>
        <v/>
      </c>
      <c r="O426" t="str" cm="1">
        <f t="array" aca="1" ref="O4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6" t="str" cm="1">
        <f t="array" ref="P4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6" t="str" cm="1">
        <f t="array" ref="Q4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6" t="str" cm="1">
        <f t="array" ref="R4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7" spans="1:18" x14ac:dyDescent="0.25">
      <c r="A427" s="14" t="str" cm="1">
        <f t="array" ref="A427">IF(Tasks[[#This Row],[Task]]="","","T-"&amp;TEXT(ROW()-ROW(Tasks[#Headers]),"000"))</f>
        <v/>
      </c>
      <c r="B427" s="15"/>
      <c r="C427" s="15"/>
      <c r="D427" s="15"/>
      <c r="E427" s="15"/>
      <c r="F427" s="16"/>
      <c r="G427" s="16"/>
      <c r="H427" s="16"/>
      <c r="I427" s="15"/>
      <c r="J427" s="15"/>
      <c r="K4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7" s="17" t="str">
        <f>IF(Tasks[[#This Row],[Task]]="","",IFERROR(VLOOKUP(IF(Tasks[[#This Row],[Effort]]="","M",Tasks[[#This Row],[Effort]]),EffortTable,2,FALSE),0))</f>
        <v/>
      </c>
      <c r="N427" t="str">
        <f>IF(Tasks[[#This Row],[Task]]="","",IFERROR(MATCH(Tasks[[#This Row],[Status]],{"Late","Blocked","Due soon"},0),9)*100000+N(Tasks[[#This Row],[Due]]))</f>
        <v/>
      </c>
      <c r="O427" t="str" cm="1">
        <f t="array" aca="1" ref="O4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7" t="str" cm="1">
        <f t="array" ref="P4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7" t="str" cm="1">
        <f t="array" ref="Q4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7" t="str" cm="1">
        <f t="array" ref="R4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8" spans="1:18" x14ac:dyDescent="0.25">
      <c r="A428" s="14" t="str" cm="1">
        <f t="array" ref="A428">IF(Tasks[[#This Row],[Task]]="","","T-"&amp;TEXT(ROW()-ROW(Tasks[#Headers]),"000"))</f>
        <v/>
      </c>
      <c r="B428" s="15"/>
      <c r="C428" s="15"/>
      <c r="D428" s="15"/>
      <c r="E428" s="15"/>
      <c r="F428" s="16"/>
      <c r="G428" s="16"/>
      <c r="H428" s="16"/>
      <c r="I428" s="15"/>
      <c r="J428" s="15"/>
      <c r="K4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8" s="17" t="str">
        <f>IF(Tasks[[#This Row],[Task]]="","",IFERROR(VLOOKUP(IF(Tasks[[#This Row],[Effort]]="","M",Tasks[[#This Row],[Effort]]),EffortTable,2,FALSE),0))</f>
        <v/>
      </c>
      <c r="N428" t="str">
        <f>IF(Tasks[[#This Row],[Task]]="","",IFERROR(MATCH(Tasks[[#This Row],[Status]],{"Late","Blocked","Due soon"},0),9)*100000+N(Tasks[[#This Row],[Due]]))</f>
        <v/>
      </c>
      <c r="O428" t="str" cm="1">
        <f t="array" aca="1" ref="O4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8" t="str" cm="1">
        <f t="array" ref="P4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8" t="str" cm="1">
        <f t="array" ref="Q4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8" t="str" cm="1">
        <f t="array" ref="R4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29" spans="1:18" x14ac:dyDescent="0.25">
      <c r="A429" s="14" t="str" cm="1">
        <f t="array" ref="A429">IF(Tasks[[#This Row],[Task]]="","","T-"&amp;TEXT(ROW()-ROW(Tasks[#Headers]),"000"))</f>
        <v/>
      </c>
      <c r="B429" s="15"/>
      <c r="C429" s="15"/>
      <c r="D429" s="15"/>
      <c r="E429" s="15"/>
      <c r="F429" s="16"/>
      <c r="G429" s="16"/>
      <c r="H429" s="16"/>
      <c r="I429" s="15"/>
      <c r="J429" s="15"/>
      <c r="K4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29" s="17" t="str">
        <f>IF(Tasks[[#This Row],[Task]]="","",IFERROR(VLOOKUP(IF(Tasks[[#This Row],[Effort]]="","M",Tasks[[#This Row],[Effort]]),EffortTable,2,FALSE),0))</f>
        <v/>
      </c>
      <c r="N429" t="str">
        <f>IF(Tasks[[#This Row],[Task]]="","",IFERROR(MATCH(Tasks[[#This Row],[Status]],{"Late","Blocked","Due soon"},0),9)*100000+N(Tasks[[#This Row],[Due]]))</f>
        <v/>
      </c>
      <c r="O429" t="str" cm="1">
        <f t="array" aca="1" ref="O4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29" t="str" cm="1">
        <f t="array" ref="P4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29" t="str" cm="1">
        <f t="array" ref="Q4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29" t="str" cm="1">
        <f t="array" ref="R4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0" spans="1:18" x14ac:dyDescent="0.25">
      <c r="A430" s="14" t="str" cm="1">
        <f t="array" ref="A430">IF(Tasks[[#This Row],[Task]]="","","T-"&amp;TEXT(ROW()-ROW(Tasks[#Headers]),"000"))</f>
        <v/>
      </c>
      <c r="B430" s="15"/>
      <c r="C430" s="15"/>
      <c r="D430" s="15"/>
      <c r="E430" s="15"/>
      <c r="F430" s="16"/>
      <c r="G430" s="16"/>
      <c r="H430" s="16"/>
      <c r="I430" s="15"/>
      <c r="J430" s="15"/>
      <c r="K4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0" s="17" t="str">
        <f>IF(Tasks[[#This Row],[Task]]="","",IFERROR(VLOOKUP(IF(Tasks[[#This Row],[Effort]]="","M",Tasks[[#This Row],[Effort]]),EffortTable,2,FALSE),0))</f>
        <v/>
      </c>
      <c r="N430" t="str">
        <f>IF(Tasks[[#This Row],[Task]]="","",IFERROR(MATCH(Tasks[[#This Row],[Status]],{"Late","Blocked","Due soon"},0),9)*100000+N(Tasks[[#This Row],[Due]]))</f>
        <v/>
      </c>
      <c r="O430" t="str" cm="1">
        <f t="array" aca="1" ref="O4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0" t="str" cm="1">
        <f t="array" ref="P4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0" t="str" cm="1">
        <f t="array" ref="Q4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0" t="str" cm="1">
        <f t="array" ref="R4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1" spans="1:18" x14ac:dyDescent="0.25">
      <c r="A431" s="14" t="str" cm="1">
        <f t="array" ref="A431">IF(Tasks[[#This Row],[Task]]="","","T-"&amp;TEXT(ROW()-ROW(Tasks[#Headers]),"000"))</f>
        <v/>
      </c>
      <c r="B431" s="15"/>
      <c r="C431" s="15"/>
      <c r="D431" s="15"/>
      <c r="E431" s="15"/>
      <c r="F431" s="16"/>
      <c r="G431" s="16"/>
      <c r="H431" s="16"/>
      <c r="I431" s="15"/>
      <c r="J431" s="15"/>
      <c r="K4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1" s="17" t="str">
        <f>IF(Tasks[[#This Row],[Task]]="","",IFERROR(VLOOKUP(IF(Tasks[[#This Row],[Effort]]="","M",Tasks[[#This Row],[Effort]]),EffortTable,2,FALSE),0))</f>
        <v/>
      </c>
      <c r="N431" t="str">
        <f>IF(Tasks[[#This Row],[Task]]="","",IFERROR(MATCH(Tasks[[#This Row],[Status]],{"Late","Blocked","Due soon"},0),9)*100000+N(Tasks[[#This Row],[Due]]))</f>
        <v/>
      </c>
      <c r="O431" t="str" cm="1">
        <f t="array" aca="1" ref="O4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1" t="str" cm="1">
        <f t="array" ref="P4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1" t="str" cm="1">
        <f t="array" ref="Q4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1" t="str" cm="1">
        <f t="array" ref="R4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2" spans="1:18" x14ac:dyDescent="0.25">
      <c r="A432" s="14" t="str" cm="1">
        <f t="array" ref="A432">IF(Tasks[[#This Row],[Task]]="","","T-"&amp;TEXT(ROW()-ROW(Tasks[#Headers]),"000"))</f>
        <v/>
      </c>
      <c r="B432" s="15"/>
      <c r="C432" s="15"/>
      <c r="D432" s="15"/>
      <c r="E432" s="15"/>
      <c r="F432" s="16"/>
      <c r="G432" s="16"/>
      <c r="H432" s="16"/>
      <c r="I432" s="15"/>
      <c r="J432" s="15"/>
      <c r="K4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2" s="17" t="str">
        <f>IF(Tasks[[#This Row],[Task]]="","",IFERROR(VLOOKUP(IF(Tasks[[#This Row],[Effort]]="","M",Tasks[[#This Row],[Effort]]),EffortTable,2,FALSE),0))</f>
        <v/>
      </c>
      <c r="N432" t="str">
        <f>IF(Tasks[[#This Row],[Task]]="","",IFERROR(MATCH(Tasks[[#This Row],[Status]],{"Late","Blocked","Due soon"},0),9)*100000+N(Tasks[[#This Row],[Due]]))</f>
        <v/>
      </c>
      <c r="O432" t="str" cm="1">
        <f t="array" aca="1" ref="O4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2" t="str" cm="1">
        <f t="array" ref="P4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2" t="str" cm="1">
        <f t="array" ref="Q4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2" t="str" cm="1">
        <f t="array" ref="R4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3" spans="1:18" x14ac:dyDescent="0.25">
      <c r="A433" s="14" t="str" cm="1">
        <f t="array" ref="A433">IF(Tasks[[#This Row],[Task]]="","","T-"&amp;TEXT(ROW()-ROW(Tasks[#Headers]),"000"))</f>
        <v/>
      </c>
      <c r="B433" s="15"/>
      <c r="C433" s="15"/>
      <c r="D433" s="15"/>
      <c r="E433" s="15"/>
      <c r="F433" s="16"/>
      <c r="G433" s="16"/>
      <c r="H433" s="16"/>
      <c r="I433" s="15"/>
      <c r="J433" s="15"/>
      <c r="K4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3" s="17" t="str">
        <f>IF(Tasks[[#This Row],[Task]]="","",IFERROR(VLOOKUP(IF(Tasks[[#This Row],[Effort]]="","M",Tasks[[#This Row],[Effort]]),EffortTable,2,FALSE),0))</f>
        <v/>
      </c>
      <c r="N433" t="str">
        <f>IF(Tasks[[#This Row],[Task]]="","",IFERROR(MATCH(Tasks[[#This Row],[Status]],{"Late","Blocked","Due soon"},0),9)*100000+N(Tasks[[#This Row],[Due]]))</f>
        <v/>
      </c>
      <c r="O433" t="str" cm="1">
        <f t="array" aca="1" ref="O4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3" t="str" cm="1">
        <f t="array" ref="P4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3" t="str" cm="1">
        <f t="array" ref="Q4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3" t="str" cm="1">
        <f t="array" ref="R4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4" spans="1:18" x14ac:dyDescent="0.25">
      <c r="A434" s="14" t="str" cm="1">
        <f t="array" ref="A434">IF(Tasks[[#This Row],[Task]]="","","T-"&amp;TEXT(ROW()-ROW(Tasks[#Headers]),"000"))</f>
        <v/>
      </c>
      <c r="B434" s="15"/>
      <c r="C434" s="15"/>
      <c r="D434" s="15"/>
      <c r="E434" s="15"/>
      <c r="F434" s="16"/>
      <c r="G434" s="16"/>
      <c r="H434" s="16"/>
      <c r="I434" s="15"/>
      <c r="J434" s="15"/>
      <c r="K4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4" s="17" t="str">
        <f>IF(Tasks[[#This Row],[Task]]="","",IFERROR(VLOOKUP(IF(Tasks[[#This Row],[Effort]]="","M",Tasks[[#This Row],[Effort]]),EffortTable,2,FALSE),0))</f>
        <v/>
      </c>
      <c r="N434" t="str">
        <f>IF(Tasks[[#This Row],[Task]]="","",IFERROR(MATCH(Tasks[[#This Row],[Status]],{"Late","Blocked","Due soon"},0),9)*100000+N(Tasks[[#This Row],[Due]]))</f>
        <v/>
      </c>
      <c r="O434" t="str" cm="1">
        <f t="array" aca="1" ref="O4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4" t="str" cm="1">
        <f t="array" ref="P4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4" t="str" cm="1">
        <f t="array" ref="Q4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4" t="str" cm="1">
        <f t="array" ref="R4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5" spans="1:18" x14ac:dyDescent="0.25">
      <c r="A435" s="14" t="str" cm="1">
        <f t="array" ref="A435">IF(Tasks[[#This Row],[Task]]="","","T-"&amp;TEXT(ROW()-ROW(Tasks[#Headers]),"000"))</f>
        <v/>
      </c>
      <c r="B435" s="15"/>
      <c r="C435" s="15"/>
      <c r="D435" s="15"/>
      <c r="E435" s="15"/>
      <c r="F435" s="16"/>
      <c r="G435" s="16"/>
      <c r="H435" s="16"/>
      <c r="I435" s="15"/>
      <c r="J435" s="15"/>
      <c r="K4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5" s="17" t="str">
        <f>IF(Tasks[[#This Row],[Task]]="","",IFERROR(VLOOKUP(IF(Tasks[[#This Row],[Effort]]="","M",Tasks[[#This Row],[Effort]]),EffortTable,2,FALSE),0))</f>
        <v/>
      </c>
      <c r="N435" t="str">
        <f>IF(Tasks[[#This Row],[Task]]="","",IFERROR(MATCH(Tasks[[#This Row],[Status]],{"Late","Blocked","Due soon"},0),9)*100000+N(Tasks[[#This Row],[Due]]))</f>
        <v/>
      </c>
      <c r="O435" t="str" cm="1">
        <f t="array" aca="1" ref="O4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5" t="str" cm="1">
        <f t="array" ref="P4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5" t="str" cm="1">
        <f t="array" ref="Q4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5" t="str" cm="1">
        <f t="array" ref="R4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6" spans="1:18" x14ac:dyDescent="0.25">
      <c r="A436" s="14" t="str" cm="1">
        <f t="array" ref="A436">IF(Tasks[[#This Row],[Task]]="","","T-"&amp;TEXT(ROW()-ROW(Tasks[#Headers]),"000"))</f>
        <v/>
      </c>
      <c r="B436" s="15"/>
      <c r="C436" s="15"/>
      <c r="D436" s="15"/>
      <c r="E436" s="15"/>
      <c r="F436" s="16"/>
      <c r="G436" s="16"/>
      <c r="H436" s="16"/>
      <c r="I436" s="15"/>
      <c r="J436" s="15"/>
      <c r="K4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6" s="17" t="str">
        <f>IF(Tasks[[#This Row],[Task]]="","",IFERROR(VLOOKUP(IF(Tasks[[#This Row],[Effort]]="","M",Tasks[[#This Row],[Effort]]),EffortTable,2,FALSE),0))</f>
        <v/>
      </c>
      <c r="N436" t="str">
        <f>IF(Tasks[[#This Row],[Task]]="","",IFERROR(MATCH(Tasks[[#This Row],[Status]],{"Late","Blocked","Due soon"},0),9)*100000+N(Tasks[[#This Row],[Due]]))</f>
        <v/>
      </c>
      <c r="O436" t="str" cm="1">
        <f t="array" aca="1" ref="O4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6" t="str" cm="1">
        <f t="array" ref="P4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6" t="str" cm="1">
        <f t="array" ref="Q4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6" t="str" cm="1">
        <f t="array" ref="R4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7" spans="1:18" x14ac:dyDescent="0.25">
      <c r="A437" s="14" t="str" cm="1">
        <f t="array" ref="A437">IF(Tasks[[#This Row],[Task]]="","","T-"&amp;TEXT(ROW()-ROW(Tasks[#Headers]),"000"))</f>
        <v/>
      </c>
      <c r="B437" s="15"/>
      <c r="C437" s="15"/>
      <c r="D437" s="15"/>
      <c r="E437" s="15"/>
      <c r="F437" s="16"/>
      <c r="G437" s="16"/>
      <c r="H437" s="16"/>
      <c r="I437" s="15"/>
      <c r="J437" s="15"/>
      <c r="K4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7" s="17" t="str">
        <f>IF(Tasks[[#This Row],[Task]]="","",IFERROR(VLOOKUP(IF(Tasks[[#This Row],[Effort]]="","M",Tasks[[#This Row],[Effort]]),EffortTable,2,FALSE),0))</f>
        <v/>
      </c>
      <c r="N437" t="str">
        <f>IF(Tasks[[#This Row],[Task]]="","",IFERROR(MATCH(Tasks[[#This Row],[Status]],{"Late","Blocked","Due soon"},0),9)*100000+N(Tasks[[#This Row],[Due]]))</f>
        <v/>
      </c>
      <c r="O437" t="str" cm="1">
        <f t="array" aca="1" ref="O4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7" t="str" cm="1">
        <f t="array" ref="P4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7" t="str" cm="1">
        <f t="array" ref="Q4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7" t="str" cm="1">
        <f t="array" ref="R4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8" spans="1:18" x14ac:dyDescent="0.25">
      <c r="A438" s="14" t="str" cm="1">
        <f t="array" ref="A438">IF(Tasks[[#This Row],[Task]]="","","T-"&amp;TEXT(ROW()-ROW(Tasks[#Headers]),"000"))</f>
        <v/>
      </c>
      <c r="B438" s="15"/>
      <c r="C438" s="15"/>
      <c r="D438" s="15"/>
      <c r="E438" s="15"/>
      <c r="F438" s="16"/>
      <c r="G438" s="16"/>
      <c r="H438" s="16"/>
      <c r="I438" s="15"/>
      <c r="J438" s="15"/>
      <c r="K4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8" s="17" t="str">
        <f>IF(Tasks[[#This Row],[Task]]="","",IFERROR(VLOOKUP(IF(Tasks[[#This Row],[Effort]]="","M",Tasks[[#This Row],[Effort]]),EffortTable,2,FALSE),0))</f>
        <v/>
      </c>
      <c r="N438" t="str">
        <f>IF(Tasks[[#This Row],[Task]]="","",IFERROR(MATCH(Tasks[[#This Row],[Status]],{"Late","Blocked","Due soon"},0),9)*100000+N(Tasks[[#This Row],[Due]]))</f>
        <v/>
      </c>
      <c r="O438" t="str" cm="1">
        <f t="array" aca="1" ref="O4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8" t="str" cm="1">
        <f t="array" ref="P4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8" t="str" cm="1">
        <f t="array" ref="Q4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8" t="str" cm="1">
        <f t="array" ref="R4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39" spans="1:18" x14ac:dyDescent="0.25">
      <c r="A439" s="14" t="str" cm="1">
        <f t="array" ref="A439">IF(Tasks[[#This Row],[Task]]="","","T-"&amp;TEXT(ROW()-ROW(Tasks[#Headers]),"000"))</f>
        <v/>
      </c>
      <c r="B439" s="15"/>
      <c r="C439" s="15"/>
      <c r="D439" s="15"/>
      <c r="E439" s="15"/>
      <c r="F439" s="16"/>
      <c r="G439" s="16"/>
      <c r="H439" s="16"/>
      <c r="I439" s="15"/>
      <c r="J439" s="15"/>
      <c r="K4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39" s="17" t="str">
        <f>IF(Tasks[[#This Row],[Task]]="","",IFERROR(VLOOKUP(IF(Tasks[[#This Row],[Effort]]="","M",Tasks[[#This Row],[Effort]]),EffortTable,2,FALSE),0))</f>
        <v/>
      </c>
      <c r="N439" t="str">
        <f>IF(Tasks[[#This Row],[Task]]="","",IFERROR(MATCH(Tasks[[#This Row],[Status]],{"Late","Blocked","Due soon"},0),9)*100000+N(Tasks[[#This Row],[Due]]))</f>
        <v/>
      </c>
      <c r="O439" t="str" cm="1">
        <f t="array" aca="1" ref="O4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39" t="str" cm="1">
        <f t="array" ref="P4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39" t="str" cm="1">
        <f t="array" ref="Q4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39" t="str" cm="1">
        <f t="array" ref="R4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0" spans="1:18" x14ac:dyDescent="0.25">
      <c r="A440" s="14" t="str" cm="1">
        <f t="array" ref="A440">IF(Tasks[[#This Row],[Task]]="","","T-"&amp;TEXT(ROW()-ROW(Tasks[#Headers]),"000"))</f>
        <v/>
      </c>
      <c r="B440" s="15"/>
      <c r="C440" s="15"/>
      <c r="D440" s="15"/>
      <c r="E440" s="15"/>
      <c r="F440" s="16"/>
      <c r="G440" s="16"/>
      <c r="H440" s="16"/>
      <c r="I440" s="15"/>
      <c r="J440" s="15"/>
      <c r="K4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0" s="17" t="str">
        <f>IF(Tasks[[#This Row],[Task]]="","",IFERROR(VLOOKUP(IF(Tasks[[#This Row],[Effort]]="","M",Tasks[[#This Row],[Effort]]),EffortTable,2,FALSE),0))</f>
        <v/>
      </c>
      <c r="N440" t="str">
        <f>IF(Tasks[[#This Row],[Task]]="","",IFERROR(MATCH(Tasks[[#This Row],[Status]],{"Late","Blocked","Due soon"},0),9)*100000+N(Tasks[[#This Row],[Due]]))</f>
        <v/>
      </c>
      <c r="O440" t="str" cm="1">
        <f t="array" aca="1" ref="O4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0" t="str" cm="1">
        <f t="array" ref="P4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0" t="str" cm="1">
        <f t="array" ref="Q4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0" t="str" cm="1">
        <f t="array" ref="R4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1" spans="1:18" x14ac:dyDescent="0.25">
      <c r="A441" s="14" t="str" cm="1">
        <f t="array" ref="A441">IF(Tasks[[#This Row],[Task]]="","","T-"&amp;TEXT(ROW()-ROW(Tasks[#Headers]),"000"))</f>
        <v/>
      </c>
      <c r="B441" s="15"/>
      <c r="C441" s="15"/>
      <c r="D441" s="15"/>
      <c r="E441" s="15"/>
      <c r="F441" s="16"/>
      <c r="G441" s="16"/>
      <c r="H441" s="16"/>
      <c r="I441" s="15"/>
      <c r="J441" s="15"/>
      <c r="K4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1" s="17" t="str">
        <f>IF(Tasks[[#This Row],[Task]]="","",IFERROR(VLOOKUP(IF(Tasks[[#This Row],[Effort]]="","M",Tasks[[#This Row],[Effort]]),EffortTable,2,FALSE),0))</f>
        <v/>
      </c>
      <c r="N441" t="str">
        <f>IF(Tasks[[#This Row],[Task]]="","",IFERROR(MATCH(Tasks[[#This Row],[Status]],{"Late","Blocked","Due soon"},0),9)*100000+N(Tasks[[#This Row],[Due]]))</f>
        <v/>
      </c>
      <c r="O441" t="str" cm="1">
        <f t="array" aca="1" ref="O4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1" t="str" cm="1">
        <f t="array" ref="P4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1" t="str" cm="1">
        <f t="array" ref="Q4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1" t="str" cm="1">
        <f t="array" ref="R4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2" spans="1:18" x14ac:dyDescent="0.25">
      <c r="A442" s="14" t="str" cm="1">
        <f t="array" ref="A442">IF(Tasks[[#This Row],[Task]]="","","T-"&amp;TEXT(ROW()-ROW(Tasks[#Headers]),"000"))</f>
        <v/>
      </c>
      <c r="B442" s="15"/>
      <c r="C442" s="15"/>
      <c r="D442" s="15"/>
      <c r="E442" s="15"/>
      <c r="F442" s="16"/>
      <c r="G442" s="16"/>
      <c r="H442" s="16"/>
      <c r="I442" s="15"/>
      <c r="J442" s="15"/>
      <c r="K4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2" s="17" t="str">
        <f>IF(Tasks[[#This Row],[Task]]="","",IFERROR(VLOOKUP(IF(Tasks[[#This Row],[Effort]]="","M",Tasks[[#This Row],[Effort]]),EffortTable,2,FALSE),0))</f>
        <v/>
      </c>
      <c r="N442" t="str">
        <f>IF(Tasks[[#This Row],[Task]]="","",IFERROR(MATCH(Tasks[[#This Row],[Status]],{"Late","Blocked","Due soon"},0),9)*100000+N(Tasks[[#This Row],[Due]]))</f>
        <v/>
      </c>
      <c r="O442" t="str" cm="1">
        <f t="array" aca="1" ref="O4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2" t="str" cm="1">
        <f t="array" ref="P4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2" t="str" cm="1">
        <f t="array" ref="Q4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2" t="str" cm="1">
        <f t="array" ref="R4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3" spans="1:18" x14ac:dyDescent="0.25">
      <c r="A443" s="14" t="str" cm="1">
        <f t="array" ref="A443">IF(Tasks[[#This Row],[Task]]="","","T-"&amp;TEXT(ROW()-ROW(Tasks[#Headers]),"000"))</f>
        <v/>
      </c>
      <c r="B443" s="15"/>
      <c r="C443" s="15"/>
      <c r="D443" s="15"/>
      <c r="E443" s="15"/>
      <c r="F443" s="16"/>
      <c r="G443" s="16"/>
      <c r="H443" s="16"/>
      <c r="I443" s="15"/>
      <c r="J443" s="15"/>
      <c r="K4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3" s="17" t="str">
        <f>IF(Tasks[[#This Row],[Task]]="","",IFERROR(VLOOKUP(IF(Tasks[[#This Row],[Effort]]="","M",Tasks[[#This Row],[Effort]]),EffortTable,2,FALSE),0))</f>
        <v/>
      </c>
      <c r="N443" t="str">
        <f>IF(Tasks[[#This Row],[Task]]="","",IFERROR(MATCH(Tasks[[#This Row],[Status]],{"Late","Blocked","Due soon"},0),9)*100000+N(Tasks[[#This Row],[Due]]))</f>
        <v/>
      </c>
      <c r="O443" t="str" cm="1">
        <f t="array" aca="1" ref="O4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3" t="str" cm="1">
        <f t="array" ref="P4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3" t="str" cm="1">
        <f t="array" ref="Q4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3" t="str" cm="1">
        <f t="array" ref="R4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4" spans="1:18" x14ac:dyDescent="0.25">
      <c r="A444" s="14" t="str" cm="1">
        <f t="array" ref="A444">IF(Tasks[[#This Row],[Task]]="","","T-"&amp;TEXT(ROW()-ROW(Tasks[#Headers]),"000"))</f>
        <v/>
      </c>
      <c r="B444" s="15"/>
      <c r="C444" s="15"/>
      <c r="D444" s="15"/>
      <c r="E444" s="15"/>
      <c r="F444" s="16"/>
      <c r="G444" s="16"/>
      <c r="H444" s="16"/>
      <c r="I444" s="15"/>
      <c r="J444" s="15"/>
      <c r="K4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4" s="17" t="str">
        <f>IF(Tasks[[#This Row],[Task]]="","",IFERROR(VLOOKUP(IF(Tasks[[#This Row],[Effort]]="","M",Tasks[[#This Row],[Effort]]),EffortTable,2,FALSE),0))</f>
        <v/>
      </c>
      <c r="N444" t="str">
        <f>IF(Tasks[[#This Row],[Task]]="","",IFERROR(MATCH(Tasks[[#This Row],[Status]],{"Late","Blocked","Due soon"},0),9)*100000+N(Tasks[[#This Row],[Due]]))</f>
        <v/>
      </c>
      <c r="O444" t="str" cm="1">
        <f t="array" aca="1" ref="O4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4" t="str" cm="1">
        <f t="array" ref="P4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4" t="str" cm="1">
        <f t="array" ref="Q4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4" t="str" cm="1">
        <f t="array" ref="R4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5" spans="1:18" x14ac:dyDescent="0.25">
      <c r="A445" s="14" t="str" cm="1">
        <f t="array" ref="A445">IF(Tasks[[#This Row],[Task]]="","","T-"&amp;TEXT(ROW()-ROW(Tasks[#Headers]),"000"))</f>
        <v/>
      </c>
      <c r="B445" s="15"/>
      <c r="C445" s="15"/>
      <c r="D445" s="15"/>
      <c r="E445" s="15"/>
      <c r="F445" s="16"/>
      <c r="G445" s="16"/>
      <c r="H445" s="16"/>
      <c r="I445" s="15"/>
      <c r="J445" s="15"/>
      <c r="K4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5" s="17" t="str">
        <f>IF(Tasks[[#This Row],[Task]]="","",IFERROR(VLOOKUP(IF(Tasks[[#This Row],[Effort]]="","M",Tasks[[#This Row],[Effort]]),EffortTable,2,FALSE),0))</f>
        <v/>
      </c>
      <c r="N445" t="str">
        <f>IF(Tasks[[#This Row],[Task]]="","",IFERROR(MATCH(Tasks[[#This Row],[Status]],{"Late","Blocked","Due soon"},0),9)*100000+N(Tasks[[#This Row],[Due]]))</f>
        <v/>
      </c>
      <c r="O445" t="str" cm="1">
        <f t="array" aca="1" ref="O4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5" t="str" cm="1">
        <f t="array" ref="P4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5" t="str" cm="1">
        <f t="array" ref="Q4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5" t="str" cm="1">
        <f t="array" ref="R4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6" spans="1:18" x14ac:dyDescent="0.25">
      <c r="A446" s="14" t="str" cm="1">
        <f t="array" ref="A446">IF(Tasks[[#This Row],[Task]]="","","T-"&amp;TEXT(ROW()-ROW(Tasks[#Headers]),"000"))</f>
        <v/>
      </c>
      <c r="B446" s="15"/>
      <c r="C446" s="15"/>
      <c r="D446" s="15"/>
      <c r="E446" s="15"/>
      <c r="F446" s="16"/>
      <c r="G446" s="16"/>
      <c r="H446" s="16"/>
      <c r="I446" s="15"/>
      <c r="J446" s="15"/>
      <c r="K4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6" s="17" t="str">
        <f>IF(Tasks[[#This Row],[Task]]="","",IFERROR(VLOOKUP(IF(Tasks[[#This Row],[Effort]]="","M",Tasks[[#This Row],[Effort]]),EffortTable,2,FALSE),0))</f>
        <v/>
      </c>
      <c r="N446" t="str">
        <f>IF(Tasks[[#This Row],[Task]]="","",IFERROR(MATCH(Tasks[[#This Row],[Status]],{"Late","Blocked","Due soon"},0),9)*100000+N(Tasks[[#This Row],[Due]]))</f>
        <v/>
      </c>
      <c r="O446" t="str" cm="1">
        <f t="array" aca="1" ref="O4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6" t="str" cm="1">
        <f t="array" ref="P4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6" t="str" cm="1">
        <f t="array" ref="Q4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6" t="str" cm="1">
        <f t="array" ref="R4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7" spans="1:18" x14ac:dyDescent="0.25">
      <c r="A447" s="14" t="str" cm="1">
        <f t="array" ref="A447">IF(Tasks[[#This Row],[Task]]="","","T-"&amp;TEXT(ROW()-ROW(Tasks[#Headers]),"000"))</f>
        <v/>
      </c>
      <c r="B447" s="15"/>
      <c r="C447" s="15"/>
      <c r="D447" s="15"/>
      <c r="E447" s="15"/>
      <c r="F447" s="16"/>
      <c r="G447" s="16"/>
      <c r="H447" s="16"/>
      <c r="I447" s="15"/>
      <c r="J447" s="15"/>
      <c r="K4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7" s="17" t="str">
        <f>IF(Tasks[[#This Row],[Task]]="","",IFERROR(VLOOKUP(IF(Tasks[[#This Row],[Effort]]="","M",Tasks[[#This Row],[Effort]]),EffortTable,2,FALSE),0))</f>
        <v/>
      </c>
      <c r="N447" t="str">
        <f>IF(Tasks[[#This Row],[Task]]="","",IFERROR(MATCH(Tasks[[#This Row],[Status]],{"Late","Blocked","Due soon"},0),9)*100000+N(Tasks[[#This Row],[Due]]))</f>
        <v/>
      </c>
      <c r="O447" t="str" cm="1">
        <f t="array" aca="1" ref="O4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7" t="str" cm="1">
        <f t="array" ref="P4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7" t="str" cm="1">
        <f t="array" ref="Q4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7" t="str" cm="1">
        <f t="array" ref="R4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8" spans="1:18" x14ac:dyDescent="0.25">
      <c r="A448" s="14" t="str" cm="1">
        <f t="array" ref="A448">IF(Tasks[[#This Row],[Task]]="","","T-"&amp;TEXT(ROW()-ROW(Tasks[#Headers]),"000"))</f>
        <v/>
      </c>
      <c r="B448" s="15"/>
      <c r="C448" s="15"/>
      <c r="D448" s="15"/>
      <c r="E448" s="15"/>
      <c r="F448" s="16"/>
      <c r="G448" s="16"/>
      <c r="H448" s="16"/>
      <c r="I448" s="15"/>
      <c r="J448" s="15"/>
      <c r="K4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8" s="17" t="str">
        <f>IF(Tasks[[#This Row],[Task]]="","",IFERROR(VLOOKUP(IF(Tasks[[#This Row],[Effort]]="","M",Tasks[[#This Row],[Effort]]),EffortTable,2,FALSE),0))</f>
        <v/>
      </c>
      <c r="N448" t="str">
        <f>IF(Tasks[[#This Row],[Task]]="","",IFERROR(MATCH(Tasks[[#This Row],[Status]],{"Late","Blocked","Due soon"},0),9)*100000+N(Tasks[[#This Row],[Due]]))</f>
        <v/>
      </c>
      <c r="O448" t="str" cm="1">
        <f t="array" aca="1" ref="O4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8" t="str" cm="1">
        <f t="array" ref="P4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8" t="str" cm="1">
        <f t="array" ref="Q4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8" t="str" cm="1">
        <f t="array" ref="R4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49" spans="1:18" x14ac:dyDescent="0.25">
      <c r="A449" s="14" t="str" cm="1">
        <f t="array" ref="A449">IF(Tasks[[#This Row],[Task]]="","","T-"&amp;TEXT(ROW()-ROW(Tasks[#Headers]),"000"))</f>
        <v/>
      </c>
      <c r="B449" s="15"/>
      <c r="C449" s="15"/>
      <c r="D449" s="15"/>
      <c r="E449" s="15"/>
      <c r="F449" s="16"/>
      <c r="G449" s="16"/>
      <c r="H449" s="16"/>
      <c r="I449" s="15"/>
      <c r="J449" s="15"/>
      <c r="K4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49" s="17" t="str">
        <f>IF(Tasks[[#This Row],[Task]]="","",IFERROR(VLOOKUP(IF(Tasks[[#This Row],[Effort]]="","M",Tasks[[#This Row],[Effort]]),EffortTable,2,FALSE),0))</f>
        <v/>
      </c>
      <c r="N449" t="str">
        <f>IF(Tasks[[#This Row],[Task]]="","",IFERROR(MATCH(Tasks[[#This Row],[Status]],{"Late","Blocked","Due soon"},0),9)*100000+N(Tasks[[#This Row],[Due]]))</f>
        <v/>
      </c>
      <c r="O449" t="str" cm="1">
        <f t="array" aca="1" ref="O4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49" t="str" cm="1">
        <f t="array" ref="P4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49" t="str" cm="1">
        <f t="array" ref="Q4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49" t="str" cm="1">
        <f t="array" ref="R4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0" spans="1:18" x14ac:dyDescent="0.25">
      <c r="A450" s="14" t="str" cm="1">
        <f t="array" ref="A450">IF(Tasks[[#This Row],[Task]]="","","T-"&amp;TEXT(ROW()-ROW(Tasks[#Headers]),"000"))</f>
        <v/>
      </c>
      <c r="B450" s="15"/>
      <c r="C450" s="15"/>
      <c r="D450" s="15"/>
      <c r="E450" s="15"/>
      <c r="F450" s="16"/>
      <c r="G450" s="16"/>
      <c r="H450" s="16"/>
      <c r="I450" s="15"/>
      <c r="J450" s="15"/>
      <c r="K4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0" s="17" t="str">
        <f>IF(Tasks[[#This Row],[Task]]="","",IFERROR(VLOOKUP(IF(Tasks[[#This Row],[Effort]]="","M",Tasks[[#This Row],[Effort]]),EffortTable,2,FALSE),0))</f>
        <v/>
      </c>
      <c r="N450" t="str">
        <f>IF(Tasks[[#This Row],[Task]]="","",IFERROR(MATCH(Tasks[[#This Row],[Status]],{"Late","Blocked","Due soon"},0),9)*100000+N(Tasks[[#This Row],[Due]]))</f>
        <v/>
      </c>
      <c r="O450" t="str" cm="1">
        <f t="array" aca="1" ref="O4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0" t="str" cm="1">
        <f t="array" ref="P4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0" t="str" cm="1">
        <f t="array" ref="Q4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0" t="str" cm="1">
        <f t="array" ref="R4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1" spans="1:18" x14ac:dyDescent="0.25">
      <c r="A451" s="14" t="str" cm="1">
        <f t="array" ref="A451">IF(Tasks[[#This Row],[Task]]="","","T-"&amp;TEXT(ROW()-ROW(Tasks[#Headers]),"000"))</f>
        <v/>
      </c>
      <c r="B451" s="15"/>
      <c r="C451" s="15"/>
      <c r="D451" s="15"/>
      <c r="E451" s="15"/>
      <c r="F451" s="16"/>
      <c r="G451" s="16"/>
      <c r="H451" s="16"/>
      <c r="I451" s="15"/>
      <c r="J451" s="15"/>
      <c r="K4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1" s="17" t="str">
        <f>IF(Tasks[[#This Row],[Task]]="","",IFERROR(VLOOKUP(IF(Tasks[[#This Row],[Effort]]="","M",Tasks[[#This Row],[Effort]]),EffortTable,2,FALSE),0))</f>
        <v/>
      </c>
      <c r="N451" t="str">
        <f>IF(Tasks[[#This Row],[Task]]="","",IFERROR(MATCH(Tasks[[#This Row],[Status]],{"Late","Blocked","Due soon"},0),9)*100000+N(Tasks[[#This Row],[Due]]))</f>
        <v/>
      </c>
      <c r="O451" t="str" cm="1">
        <f t="array" aca="1" ref="O4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1" t="str" cm="1">
        <f t="array" ref="P4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1" t="str" cm="1">
        <f t="array" ref="Q4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1" t="str" cm="1">
        <f t="array" ref="R4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2" spans="1:18" x14ac:dyDescent="0.25">
      <c r="A452" s="14" t="str" cm="1">
        <f t="array" ref="A452">IF(Tasks[[#This Row],[Task]]="","","T-"&amp;TEXT(ROW()-ROW(Tasks[#Headers]),"000"))</f>
        <v/>
      </c>
      <c r="B452" s="15"/>
      <c r="C452" s="15"/>
      <c r="D452" s="15"/>
      <c r="E452" s="15"/>
      <c r="F452" s="16"/>
      <c r="G452" s="16"/>
      <c r="H452" s="16"/>
      <c r="I452" s="15"/>
      <c r="J452" s="15"/>
      <c r="K4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2" s="17" t="str">
        <f>IF(Tasks[[#This Row],[Task]]="","",IFERROR(VLOOKUP(IF(Tasks[[#This Row],[Effort]]="","M",Tasks[[#This Row],[Effort]]),EffortTable,2,FALSE),0))</f>
        <v/>
      </c>
      <c r="N452" t="str">
        <f>IF(Tasks[[#This Row],[Task]]="","",IFERROR(MATCH(Tasks[[#This Row],[Status]],{"Late","Blocked","Due soon"},0),9)*100000+N(Tasks[[#This Row],[Due]]))</f>
        <v/>
      </c>
      <c r="O452" t="str" cm="1">
        <f t="array" aca="1" ref="O4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2" t="str" cm="1">
        <f t="array" ref="P4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2" t="str" cm="1">
        <f t="array" ref="Q4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2" t="str" cm="1">
        <f t="array" ref="R4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3" spans="1:18" x14ac:dyDescent="0.25">
      <c r="A453" s="14" t="str" cm="1">
        <f t="array" ref="A453">IF(Tasks[[#This Row],[Task]]="","","T-"&amp;TEXT(ROW()-ROW(Tasks[#Headers]),"000"))</f>
        <v/>
      </c>
      <c r="B453" s="15"/>
      <c r="C453" s="15"/>
      <c r="D453" s="15"/>
      <c r="E453" s="15"/>
      <c r="F453" s="16"/>
      <c r="G453" s="16"/>
      <c r="H453" s="16"/>
      <c r="I453" s="15"/>
      <c r="J453" s="15"/>
      <c r="K4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3" s="17" t="str">
        <f>IF(Tasks[[#This Row],[Task]]="","",IFERROR(VLOOKUP(IF(Tasks[[#This Row],[Effort]]="","M",Tasks[[#This Row],[Effort]]),EffortTable,2,FALSE),0))</f>
        <v/>
      </c>
      <c r="N453" t="str">
        <f>IF(Tasks[[#This Row],[Task]]="","",IFERROR(MATCH(Tasks[[#This Row],[Status]],{"Late","Blocked","Due soon"},0),9)*100000+N(Tasks[[#This Row],[Due]]))</f>
        <v/>
      </c>
      <c r="O453" t="str" cm="1">
        <f t="array" aca="1" ref="O4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3" t="str" cm="1">
        <f t="array" ref="P4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3" t="str" cm="1">
        <f t="array" ref="Q4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3" t="str" cm="1">
        <f t="array" ref="R4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4" spans="1:18" x14ac:dyDescent="0.25">
      <c r="A454" s="14" t="str" cm="1">
        <f t="array" ref="A454">IF(Tasks[[#This Row],[Task]]="","","T-"&amp;TEXT(ROW()-ROW(Tasks[#Headers]),"000"))</f>
        <v/>
      </c>
      <c r="B454" s="15"/>
      <c r="C454" s="15"/>
      <c r="D454" s="15"/>
      <c r="E454" s="15"/>
      <c r="F454" s="16"/>
      <c r="G454" s="16"/>
      <c r="H454" s="16"/>
      <c r="I454" s="15"/>
      <c r="J454" s="15"/>
      <c r="K4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4" s="17" t="str">
        <f>IF(Tasks[[#This Row],[Task]]="","",IFERROR(VLOOKUP(IF(Tasks[[#This Row],[Effort]]="","M",Tasks[[#This Row],[Effort]]),EffortTable,2,FALSE),0))</f>
        <v/>
      </c>
      <c r="N454" t="str">
        <f>IF(Tasks[[#This Row],[Task]]="","",IFERROR(MATCH(Tasks[[#This Row],[Status]],{"Late","Blocked","Due soon"},0),9)*100000+N(Tasks[[#This Row],[Due]]))</f>
        <v/>
      </c>
      <c r="O454" t="str" cm="1">
        <f t="array" aca="1" ref="O4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4" t="str" cm="1">
        <f t="array" ref="P4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4" t="str" cm="1">
        <f t="array" ref="Q4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4" t="str" cm="1">
        <f t="array" ref="R4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5" spans="1:18" x14ac:dyDescent="0.25">
      <c r="A455" s="14" t="str" cm="1">
        <f t="array" ref="A455">IF(Tasks[[#This Row],[Task]]="","","T-"&amp;TEXT(ROW()-ROW(Tasks[#Headers]),"000"))</f>
        <v/>
      </c>
      <c r="B455" s="15"/>
      <c r="C455" s="15"/>
      <c r="D455" s="15"/>
      <c r="E455" s="15"/>
      <c r="F455" s="16"/>
      <c r="G455" s="16"/>
      <c r="H455" s="16"/>
      <c r="I455" s="15"/>
      <c r="J455" s="15"/>
      <c r="K4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5" s="17" t="str">
        <f>IF(Tasks[[#This Row],[Task]]="","",IFERROR(VLOOKUP(IF(Tasks[[#This Row],[Effort]]="","M",Tasks[[#This Row],[Effort]]),EffortTable,2,FALSE),0))</f>
        <v/>
      </c>
      <c r="N455" t="str">
        <f>IF(Tasks[[#This Row],[Task]]="","",IFERROR(MATCH(Tasks[[#This Row],[Status]],{"Late","Blocked","Due soon"},0),9)*100000+N(Tasks[[#This Row],[Due]]))</f>
        <v/>
      </c>
      <c r="O455" t="str" cm="1">
        <f t="array" aca="1" ref="O4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5" t="str" cm="1">
        <f t="array" ref="P4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5" t="str" cm="1">
        <f t="array" ref="Q4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5" t="str" cm="1">
        <f t="array" ref="R4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6" spans="1:18" x14ac:dyDescent="0.25">
      <c r="A456" s="14" t="str" cm="1">
        <f t="array" ref="A456">IF(Tasks[[#This Row],[Task]]="","","T-"&amp;TEXT(ROW()-ROW(Tasks[#Headers]),"000"))</f>
        <v/>
      </c>
      <c r="B456" s="15"/>
      <c r="C456" s="15"/>
      <c r="D456" s="15"/>
      <c r="E456" s="15"/>
      <c r="F456" s="16"/>
      <c r="G456" s="16"/>
      <c r="H456" s="16"/>
      <c r="I456" s="15"/>
      <c r="J456" s="15"/>
      <c r="K4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6" s="17" t="str">
        <f>IF(Tasks[[#This Row],[Task]]="","",IFERROR(VLOOKUP(IF(Tasks[[#This Row],[Effort]]="","M",Tasks[[#This Row],[Effort]]),EffortTable,2,FALSE),0))</f>
        <v/>
      </c>
      <c r="N456" t="str">
        <f>IF(Tasks[[#This Row],[Task]]="","",IFERROR(MATCH(Tasks[[#This Row],[Status]],{"Late","Blocked","Due soon"},0),9)*100000+N(Tasks[[#This Row],[Due]]))</f>
        <v/>
      </c>
      <c r="O456" t="str" cm="1">
        <f t="array" aca="1" ref="O4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6" t="str" cm="1">
        <f t="array" ref="P4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6" t="str" cm="1">
        <f t="array" ref="Q4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6" t="str" cm="1">
        <f t="array" ref="R4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7" spans="1:18" x14ac:dyDescent="0.25">
      <c r="A457" s="14" t="str" cm="1">
        <f t="array" ref="A457">IF(Tasks[[#This Row],[Task]]="","","T-"&amp;TEXT(ROW()-ROW(Tasks[#Headers]),"000"))</f>
        <v/>
      </c>
      <c r="B457" s="15"/>
      <c r="C457" s="15"/>
      <c r="D457" s="15"/>
      <c r="E457" s="15"/>
      <c r="F457" s="16"/>
      <c r="G457" s="16"/>
      <c r="H457" s="16"/>
      <c r="I457" s="15"/>
      <c r="J457" s="15"/>
      <c r="K4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7" s="17" t="str">
        <f>IF(Tasks[[#This Row],[Task]]="","",IFERROR(VLOOKUP(IF(Tasks[[#This Row],[Effort]]="","M",Tasks[[#This Row],[Effort]]),EffortTable,2,FALSE),0))</f>
        <v/>
      </c>
      <c r="N457" t="str">
        <f>IF(Tasks[[#This Row],[Task]]="","",IFERROR(MATCH(Tasks[[#This Row],[Status]],{"Late","Blocked","Due soon"},0),9)*100000+N(Tasks[[#This Row],[Due]]))</f>
        <v/>
      </c>
      <c r="O457" t="str" cm="1">
        <f t="array" aca="1" ref="O4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7" t="str" cm="1">
        <f t="array" ref="P4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7" t="str" cm="1">
        <f t="array" ref="Q4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7" t="str" cm="1">
        <f t="array" ref="R4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8" spans="1:18" x14ac:dyDescent="0.25">
      <c r="A458" s="14" t="str" cm="1">
        <f t="array" ref="A458">IF(Tasks[[#This Row],[Task]]="","","T-"&amp;TEXT(ROW()-ROW(Tasks[#Headers]),"000"))</f>
        <v/>
      </c>
      <c r="B458" s="15"/>
      <c r="C458" s="15"/>
      <c r="D458" s="15"/>
      <c r="E458" s="15"/>
      <c r="F458" s="16"/>
      <c r="G458" s="16"/>
      <c r="H458" s="16"/>
      <c r="I458" s="15"/>
      <c r="J458" s="15"/>
      <c r="K4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8" s="17" t="str">
        <f>IF(Tasks[[#This Row],[Task]]="","",IFERROR(VLOOKUP(IF(Tasks[[#This Row],[Effort]]="","M",Tasks[[#This Row],[Effort]]),EffortTable,2,FALSE),0))</f>
        <v/>
      </c>
      <c r="N458" t="str">
        <f>IF(Tasks[[#This Row],[Task]]="","",IFERROR(MATCH(Tasks[[#This Row],[Status]],{"Late","Blocked","Due soon"},0),9)*100000+N(Tasks[[#This Row],[Due]]))</f>
        <v/>
      </c>
      <c r="O458" t="str" cm="1">
        <f t="array" aca="1" ref="O4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8" t="str" cm="1">
        <f t="array" ref="P4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8" t="str" cm="1">
        <f t="array" ref="Q4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8" t="str" cm="1">
        <f t="array" ref="R4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59" spans="1:18" x14ac:dyDescent="0.25">
      <c r="A459" s="14" t="str" cm="1">
        <f t="array" ref="A459">IF(Tasks[[#This Row],[Task]]="","","T-"&amp;TEXT(ROW()-ROW(Tasks[#Headers]),"000"))</f>
        <v/>
      </c>
      <c r="B459" s="15"/>
      <c r="C459" s="15"/>
      <c r="D459" s="15"/>
      <c r="E459" s="15"/>
      <c r="F459" s="16"/>
      <c r="G459" s="16"/>
      <c r="H459" s="16"/>
      <c r="I459" s="15"/>
      <c r="J459" s="15"/>
      <c r="K4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59" s="17" t="str">
        <f>IF(Tasks[[#This Row],[Task]]="","",IFERROR(VLOOKUP(IF(Tasks[[#This Row],[Effort]]="","M",Tasks[[#This Row],[Effort]]),EffortTable,2,FALSE),0))</f>
        <v/>
      </c>
      <c r="N459" t="str">
        <f>IF(Tasks[[#This Row],[Task]]="","",IFERROR(MATCH(Tasks[[#This Row],[Status]],{"Late","Blocked","Due soon"},0),9)*100000+N(Tasks[[#This Row],[Due]]))</f>
        <v/>
      </c>
      <c r="O459" t="str" cm="1">
        <f t="array" aca="1" ref="O4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59" t="str" cm="1">
        <f t="array" ref="P4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59" t="str" cm="1">
        <f t="array" ref="Q4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59" t="str" cm="1">
        <f t="array" ref="R4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0" spans="1:18" x14ac:dyDescent="0.25">
      <c r="A460" s="14" t="str" cm="1">
        <f t="array" ref="A460">IF(Tasks[[#This Row],[Task]]="","","T-"&amp;TEXT(ROW()-ROW(Tasks[#Headers]),"000"))</f>
        <v/>
      </c>
      <c r="B460" s="15"/>
      <c r="C460" s="15"/>
      <c r="D460" s="15"/>
      <c r="E460" s="15"/>
      <c r="F460" s="16"/>
      <c r="G460" s="16"/>
      <c r="H460" s="16"/>
      <c r="I460" s="15"/>
      <c r="J460" s="15"/>
      <c r="K4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0" s="17" t="str">
        <f>IF(Tasks[[#This Row],[Task]]="","",IFERROR(VLOOKUP(IF(Tasks[[#This Row],[Effort]]="","M",Tasks[[#This Row],[Effort]]),EffortTable,2,FALSE),0))</f>
        <v/>
      </c>
      <c r="N460" t="str">
        <f>IF(Tasks[[#This Row],[Task]]="","",IFERROR(MATCH(Tasks[[#This Row],[Status]],{"Late","Blocked","Due soon"},0),9)*100000+N(Tasks[[#This Row],[Due]]))</f>
        <v/>
      </c>
      <c r="O460" t="str" cm="1">
        <f t="array" aca="1" ref="O4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0" t="str" cm="1">
        <f t="array" ref="P4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0" t="str" cm="1">
        <f t="array" ref="Q4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0" t="str" cm="1">
        <f t="array" ref="R4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1" spans="1:18" x14ac:dyDescent="0.25">
      <c r="A461" s="14" t="str" cm="1">
        <f t="array" ref="A461">IF(Tasks[[#This Row],[Task]]="","","T-"&amp;TEXT(ROW()-ROW(Tasks[#Headers]),"000"))</f>
        <v/>
      </c>
      <c r="B461" s="15"/>
      <c r="C461" s="15"/>
      <c r="D461" s="15"/>
      <c r="E461" s="15"/>
      <c r="F461" s="16"/>
      <c r="G461" s="16"/>
      <c r="H461" s="16"/>
      <c r="I461" s="15"/>
      <c r="J461" s="15"/>
      <c r="K4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1" s="17" t="str">
        <f>IF(Tasks[[#This Row],[Task]]="","",IFERROR(VLOOKUP(IF(Tasks[[#This Row],[Effort]]="","M",Tasks[[#This Row],[Effort]]),EffortTable,2,FALSE),0))</f>
        <v/>
      </c>
      <c r="N461" t="str">
        <f>IF(Tasks[[#This Row],[Task]]="","",IFERROR(MATCH(Tasks[[#This Row],[Status]],{"Late","Blocked","Due soon"},0),9)*100000+N(Tasks[[#This Row],[Due]]))</f>
        <v/>
      </c>
      <c r="O461" t="str" cm="1">
        <f t="array" aca="1" ref="O4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1" t="str" cm="1">
        <f t="array" ref="P4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1" t="str" cm="1">
        <f t="array" ref="Q4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1" t="str" cm="1">
        <f t="array" ref="R4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2" spans="1:18" x14ac:dyDescent="0.25">
      <c r="A462" s="14" t="str" cm="1">
        <f t="array" ref="A462">IF(Tasks[[#This Row],[Task]]="","","T-"&amp;TEXT(ROW()-ROW(Tasks[#Headers]),"000"))</f>
        <v/>
      </c>
      <c r="B462" s="15"/>
      <c r="C462" s="15"/>
      <c r="D462" s="15"/>
      <c r="E462" s="15"/>
      <c r="F462" s="16"/>
      <c r="G462" s="16"/>
      <c r="H462" s="16"/>
      <c r="I462" s="15"/>
      <c r="J462" s="15"/>
      <c r="K4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2" s="17" t="str">
        <f>IF(Tasks[[#This Row],[Task]]="","",IFERROR(VLOOKUP(IF(Tasks[[#This Row],[Effort]]="","M",Tasks[[#This Row],[Effort]]),EffortTable,2,FALSE),0))</f>
        <v/>
      </c>
      <c r="N462" t="str">
        <f>IF(Tasks[[#This Row],[Task]]="","",IFERROR(MATCH(Tasks[[#This Row],[Status]],{"Late","Blocked","Due soon"},0),9)*100000+N(Tasks[[#This Row],[Due]]))</f>
        <v/>
      </c>
      <c r="O462" t="str" cm="1">
        <f t="array" aca="1" ref="O4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2" t="str" cm="1">
        <f t="array" ref="P4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2" t="str" cm="1">
        <f t="array" ref="Q4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2" t="str" cm="1">
        <f t="array" ref="R4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3" spans="1:18" x14ac:dyDescent="0.25">
      <c r="A463" s="14" t="str" cm="1">
        <f t="array" ref="A463">IF(Tasks[[#This Row],[Task]]="","","T-"&amp;TEXT(ROW()-ROW(Tasks[#Headers]),"000"))</f>
        <v/>
      </c>
      <c r="B463" s="15"/>
      <c r="C463" s="15"/>
      <c r="D463" s="15"/>
      <c r="E463" s="15"/>
      <c r="F463" s="16"/>
      <c r="G463" s="16"/>
      <c r="H463" s="16"/>
      <c r="I463" s="15"/>
      <c r="J463" s="15"/>
      <c r="K4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3" s="17" t="str">
        <f>IF(Tasks[[#This Row],[Task]]="","",IFERROR(VLOOKUP(IF(Tasks[[#This Row],[Effort]]="","M",Tasks[[#This Row],[Effort]]),EffortTable,2,FALSE),0))</f>
        <v/>
      </c>
      <c r="N463" t="str">
        <f>IF(Tasks[[#This Row],[Task]]="","",IFERROR(MATCH(Tasks[[#This Row],[Status]],{"Late","Blocked","Due soon"},0),9)*100000+N(Tasks[[#This Row],[Due]]))</f>
        <v/>
      </c>
      <c r="O463" t="str" cm="1">
        <f t="array" aca="1" ref="O4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3" t="str" cm="1">
        <f t="array" ref="P4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3" t="str" cm="1">
        <f t="array" ref="Q4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3" t="str" cm="1">
        <f t="array" ref="R4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4" spans="1:18" x14ac:dyDescent="0.25">
      <c r="A464" s="14" t="str" cm="1">
        <f t="array" ref="A464">IF(Tasks[[#This Row],[Task]]="","","T-"&amp;TEXT(ROW()-ROW(Tasks[#Headers]),"000"))</f>
        <v/>
      </c>
      <c r="B464" s="15"/>
      <c r="C464" s="15"/>
      <c r="D464" s="15"/>
      <c r="E464" s="15"/>
      <c r="F464" s="16"/>
      <c r="G464" s="16"/>
      <c r="H464" s="16"/>
      <c r="I464" s="15"/>
      <c r="J464" s="15"/>
      <c r="K4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4" s="17" t="str">
        <f>IF(Tasks[[#This Row],[Task]]="","",IFERROR(VLOOKUP(IF(Tasks[[#This Row],[Effort]]="","M",Tasks[[#This Row],[Effort]]),EffortTable,2,FALSE),0))</f>
        <v/>
      </c>
      <c r="N464" t="str">
        <f>IF(Tasks[[#This Row],[Task]]="","",IFERROR(MATCH(Tasks[[#This Row],[Status]],{"Late","Blocked","Due soon"},0),9)*100000+N(Tasks[[#This Row],[Due]]))</f>
        <v/>
      </c>
      <c r="O464" t="str" cm="1">
        <f t="array" aca="1" ref="O4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4" t="str" cm="1">
        <f t="array" ref="P4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4" t="str" cm="1">
        <f t="array" ref="Q4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4" t="str" cm="1">
        <f t="array" ref="R4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5" spans="1:18" x14ac:dyDescent="0.25">
      <c r="A465" s="14" t="str" cm="1">
        <f t="array" ref="A465">IF(Tasks[[#This Row],[Task]]="","","T-"&amp;TEXT(ROW()-ROW(Tasks[#Headers]),"000"))</f>
        <v/>
      </c>
      <c r="B465" s="15"/>
      <c r="C465" s="15"/>
      <c r="D465" s="15"/>
      <c r="E465" s="15"/>
      <c r="F465" s="16"/>
      <c r="G465" s="16"/>
      <c r="H465" s="16"/>
      <c r="I465" s="15"/>
      <c r="J465" s="15"/>
      <c r="K4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5" s="17" t="str">
        <f>IF(Tasks[[#This Row],[Task]]="","",IFERROR(VLOOKUP(IF(Tasks[[#This Row],[Effort]]="","M",Tasks[[#This Row],[Effort]]),EffortTable,2,FALSE),0))</f>
        <v/>
      </c>
      <c r="N465" t="str">
        <f>IF(Tasks[[#This Row],[Task]]="","",IFERROR(MATCH(Tasks[[#This Row],[Status]],{"Late","Blocked","Due soon"},0),9)*100000+N(Tasks[[#This Row],[Due]]))</f>
        <v/>
      </c>
      <c r="O465" t="str" cm="1">
        <f t="array" aca="1" ref="O4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5" t="str" cm="1">
        <f t="array" ref="P4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5" t="str" cm="1">
        <f t="array" ref="Q4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5" t="str" cm="1">
        <f t="array" ref="R4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6" spans="1:18" x14ac:dyDescent="0.25">
      <c r="A466" s="14" t="str" cm="1">
        <f t="array" ref="A466">IF(Tasks[[#This Row],[Task]]="","","T-"&amp;TEXT(ROW()-ROW(Tasks[#Headers]),"000"))</f>
        <v/>
      </c>
      <c r="B466" s="15"/>
      <c r="C466" s="15"/>
      <c r="D466" s="15"/>
      <c r="E466" s="15"/>
      <c r="F466" s="16"/>
      <c r="G466" s="16"/>
      <c r="H466" s="16"/>
      <c r="I466" s="15"/>
      <c r="J466" s="15"/>
      <c r="K4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6" s="17" t="str">
        <f>IF(Tasks[[#This Row],[Task]]="","",IFERROR(VLOOKUP(IF(Tasks[[#This Row],[Effort]]="","M",Tasks[[#This Row],[Effort]]),EffortTable,2,FALSE),0))</f>
        <v/>
      </c>
      <c r="N466" t="str">
        <f>IF(Tasks[[#This Row],[Task]]="","",IFERROR(MATCH(Tasks[[#This Row],[Status]],{"Late","Blocked","Due soon"},0),9)*100000+N(Tasks[[#This Row],[Due]]))</f>
        <v/>
      </c>
      <c r="O466" t="str" cm="1">
        <f t="array" aca="1" ref="O4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6" t="str" cm="1">
        <f t="array" ref="P4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6" t="str" cm="1">
        <f t="array" ref="Q4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6" t="str" cm="1">
        <f t="array" ref="R4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7" spans="1:18" x14ac:dyDescent="0.25">
      <c r="A467" s="14" t="str" cm="1">
        <f t="array" ref="A467">IF(Tasks[[#This Row],[Task]]="","","T-"&amp;TEXT(ROW()-ROW(Tasks[#Headers]),"000"))</f>
        <v/>
      </c>
      <c r="B467" s="15"/>
      <c r="C467" s="15"/>
      <c r="D467" s="15"/>
      <c r="E467" s="15"/>
      <c r="F467" s="16"/>
      <c r="G467" s="16"/>
      <c r="H467" s="16"/>
      <c r="I467" s="15"/>
      <c r="J467" s="15"/>
      <c r="K4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7" s="17" t="str">
        <f>IF(Tasks[[#This Row],[Task]]="","",IFERROR(VLOOKUP(IF(Tasks[[#This Row],[Effort]]="","M",Tasks[[#This Row],[Effort]]),EffortTable,2,FALSE),0))</f>
        <v/>
      </c>
      <c r="N467" t="str">
        <f>IF(Tasks[[#This Row],[Task]]="","",IFERROR(MATCH(Tasks[[#This Row],[Status]],{"Late","Blocked","Due soon"},0),9)*100000+N(Tasks[[#This Row],[Due]]))</f>
        <v/>
      </c>
      <c r="O467" t="str" cm="1">
        <f t="array" aca="1" ref="O4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7" t="str" cm="1">
        <f t="array" ref="P4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7" t="str" cm="1">
        <f t="array" ref="Q4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7" t="str" cm="1">
        <f t="array" ref="R4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8" spans="1:18" x14ac:dyDescent="0.25">
      <c r="A468" s="14" t="str" cm="1">
        <f t="array" ref="A468">IF(Tasks[[#This Row],[Task]]="","","T-"&amp;TEXT(ROW()-ROW(Tasks[#Headers]),"000"))</f>
        <v/>
      </c>
      <c r="B468" s="15"/>
      <c r="C468" s="15"/>
      <c r="D468" s="15"/>
      <c r="E468" s="15"/>
      <c r="F468" s="16"/>
      <c r="G468" s="16"/>
      <c r="H468" s="16"/>
      <c r="I468" s="15"/>
      <c r="J468" s="15"/>
      <c r="K4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8" s="17" t="str">
        <f>IF(Tasks[[#This Row],[Task]]="","",IFERROR(VLOOKUP(IF(Tasks[[#This Row],[Effort]]="","M",Tasks[[#This Row],[Effort]]),EffortTable,2,FALSE),0))</f>
        <v/>
      </c>
      <c r="N468" t="str">
        <f>IF(Tasks[[#This Row],[Task]]="","",IFERROR(MATCH(Tasks[[#This Row],[Status]],{"Late","Blocked","Due soon"},0),9)*100000+N(Tasks[[#This Row],[Due]]))</f>
        <v/>
      </c>
      <c r="O468" t="str" cm="1">
        <f t="array" aca="1" ref="O4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8" t="str" cm="1">
        <f t="array" ref="P4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8" t="str" cm="1">
        <f t="array" ref="Q4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8" t="str" cm="1">
        <f t="array" ref="R4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69" spans="1:18" x14ac:dyDescent="0.25">
      <c r="A469" s="14" t="str" cm="1">
        <f t="array" ref="A469">IF(Tasks[[#This Row],[Task]]="","","T-"&amp;TEXT(ROW()-ROW(Tasks[#Headers]),"000"))</f>
        <v/>
      </c>
      <c r="B469" s="15"/>
      <c r="C469" s="15"/>
      <c r="D469" s="15"/>
      <c r="E469" s="15"/>
      <c r="F469" s="16"/>
      <c r="G469" s="16"/>
      <c r="H469" s="16"/>
      <c r="I469" s="15"/>
      <c r="J469" s="15"/>
      <c r="K4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69" s="17" t="str">
        <f>IF(Tasks[[#This Row],[Task]]="","",IFERROR(VLOOKUP(IF(Tasks[[#This Row],[Effort]]="","M",Tasks[[#This Row],[Effort]]),EffortTable,2,FALSE),0))</f>
        <v/>
      </c>
      <c r="N469" t="str">
        <f>IF(Tasks[[#This Row],[Task]]="","",IFERROR(MATCH(Tasks[[#This Row],[Status]],{"Late","Blocked","Due soon"},0),9)*100000+N(Tasks[[#This Row],[Due]]))</f>
        <v/>
      </c>
      <c r="O469" t="str" cm="1">
        <f t="array" aca="1" ref="O4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69" t="str" cm="1">
        <f t="array" ref="P4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69" t="str" cm="1">
        <f t="array" ref="Q4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69" t="str" cm="1">
        <f t="array" ref="R4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0" spans="1:18" x14ac:dyDescent="0.25">
      <c r="A470" s="14" t="str" cm="1">
        <f t="array" ref="A470">IF(Tasks[[#This Row],[Task]]="","","T-"&amp;TEXT(ROW()-ROW(Tasks[#Headers]),"000"))</f>
        <v/>
      </c>
      <c r="B470" s="15"/>
      <c r="C470" s="15"/>
      <c r="D470" s="15"/>
      <c r="E470" s="15"/>
      <c r="F470" s="16"/>
      <c r="G470" s="16"/>
      <c r="H470" s="16"/>
      <c r="I470" s="15"/>
      <c r="J470" s="15"/>
      <c r="K4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0" s="17" t="str">
        <f>IF(Tasks[[#This Row],[Task]]="","",IFERROR(VLOOKUP(IF(Tasks[[#This Row],[Effort]]="","M",Tasks[[#This Row],[Effort]]),EffortTable,2,FALSE),0))</f>
        <v/>
      </c>
      <c r="N470" t="str">
        <f>IF(Tasks[[#This Row],[Task]]="","",IFERROR(MATCH(Tasks[[#This Row],[Status]],{"Late","Blocked","Due soon"},0),9)*100000+N(Tasks[[#This Row],[Due]]))</f>
        <v/>
      </c>
      <c r="O470" t="str" cm="1">
        <f t="array" aca="1" ref="O4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0" t="str" cm="1">
        <f t="array" ref="P4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0" t="str" cm="1">
        <f t="array" ref="Q4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0" t="str" cm="1">
        <f t="array" ref="R4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1" spans="1:18" x14ac:dyDescent="0.25">
      <c r="A471" s="14" t="str" cm="1">
        <f t="array" ref="A471">IF(Tasks[[#This Row],[Task]]="","","T-"&amp;TEXT(ROW()-ROW(Tasks[#Headers]),"000"))</f>
        <v/>
      </c>
      <c r="B471" s="15"/>
      <c r="C471" s="15"/>
      <c r="D471" s="15"/>
      <c r="E471" s="15"/>
      <c r="F471" s="16"/>
      <c r="G471" s="16"/>
      <c r="H471" s="16"/>
      <c r="I471" s="15"/>
      <c r="J471" s="15"/>
      <c r="K4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1" s="17" t="str">
        <f>IF(Tasks[[#This Row],[Task]]="","",IFERROR(VLOOKUP(IF(Tasks[[#This Row],[Effort]]="","M",Tasks[[#This Row],[Effort]]),EffortTable,2,FALSE),0))</f>
        <v/>
      </c>
      <c r="N471" t="str">
        <f>IF(Tasks[[#This Row],[Task]]="","",IFERROR(MATCH(Tasks[[#This Row],[Status]],{"Late","Blocked","Due soon"},0),9)*100000+N(Tasks[[#This Row],[Due]]))</f>
        <v/>
      </c>
      <c r="O471" t="str" cm="1">
        <f t="array" aca="1" ref="O4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1" t="str" cm="1">
        <f t="array" ref="P4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1" t="str" cm="1">
        <f t="array" ref="Q4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1" t="str" cm="1">
        <f t="array" ref="R4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2" spans="1:18" x14ac:dyDescent="0.25">
      <c r="A472" s="14" t="str" cm="1">
        <f t="array" ref="A472">IF(Tasks[[#This Row],[Task]]="","","T-"&amp;TEXT(ROW()-ROW(Tasks[#Headers]),"000"))</f>
        <v/>
      </c>
      <c r="B472" s="15"/>
      <c r="C472" s="15"/>
      <c r="D472" s="15"/>
      <c r="E472" s="15"/>
      <c r="F472" s="16"/>
      <c r="G472" s="16"/>
      <c r="H472" s="16"/>
      <c r="I472" s="15"/>
      <c r="J472" s="15"/>
      <c r="K4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2" s="17" t="str">
        <f>IF(Tasks[[#This Row],[Task]]="","",IFERROR(VLOOKUP(IF(Tasks[[#This Row],[Effort]]="","M",Tasks[[#This Row],[Effort]]),EffortTable,2,FALSE),0))</f>
        <v/>
      </c>
      <c r="N472" t="str">
        <f>IF(Tasks[[#This Row],[Task]]="","",IFERROR(MATCH(Tasks[[#This Row],[Status]],{"Late","Blocked","Due soon"},0),9)*100000+N(Tasks[[#This Row],[Due]]))</f>
        <v/>
      </c>
      <c r="O472" t="str" cm="1">
        <f t="array" aca="1" ref="O4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2" t="str" cm="1">
        <f t="array" ref="P4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2" t="str" cm="1">
        <f t="array" ref="Q4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2" t="str" cm="1">
        <f t="array" ref="R4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3" spans="1:18" x14ac:dyDescent="0.25">
      <c r="A473" s="14" t="str" cm="1">
        <f t="array" ref="A473">IF(Tasks[[#This Row],[Task]]="","","T-"&amp;TEXT(ROW()-ROW(Tasks[#Headers]),"000"))</f>
        <v/>
      </c>
      <c r="B473" s="15"/>
      <c r="C473" s="15"/>
      <c r="D473" s="15"/>
      <c r="E473" s="15"/>
      <c r="F473" s="16"/>
      <c r="G473" s="16"/>
      <c r="H473" s="16"/>
      <c r="I473" s="15"/>
      <c r="J473" s="15"/>
      <c r="K4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3" s="17" t="str">
        <f>IF(Tasks[[#This Row],[Task]]="","",IFERROR(VLOOKUP(IF(Tasks[[#This Row],[Effort]]="","M",Tasks[[#This Row],[Effort]]),EffortTable,2,FALSE),0))</f>
        <v/>
      </c>
      <c r="N473" t="str">
        <f>IF(Tasks[[#This Row],[Task]]="","",IFERROR(MATCH(Tasks[[#This Row],[Status]],{"Late","Blocked","Due soon"},0),9)*100000+N(Tasks[[#This Row],[Due]]))</f>
        <v/>
      </c>
      <c r="O473" t="str" cm="1">
        <f t="array" aca="1" ref="O4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3" t="str" cm="1">
        <f t="array" ref="P4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3" t="str" cm="1">
        <f t="array" ref="Q4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3" t="str" cm="1">
        <f t="array" ref="R4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4" spans="1:18" x14ac:dyDescent="0.25">
      <c r="A474" s="14" t="str" cm="1">
        <f t="array" ref="A474">IF(Tasks[[#This Row],[Task]]="","","T-"&amp;TEXT(ROW()-ROW(Tasks[#Headers]),"000"))</f>
        <v/>
      </c>
      <c r="B474" s="15"/>
      <c r="C474" s="15"/>
      <c r="D474" s="15"/>
      <c r="E474" s="15"/>
      <c r="F474" s="16"/>
      <c r="G474" s="16"/>
      <c r="H474" s="16"/>
      <c r="I474" s="15"/>
      <c r="J474" s="15"/>
      <c r="K4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4" s="17" t="str">
        <f>IF(Tasks[[#This Row],[Task]]="","",IFERROR(VLOOKUP(IF(Tasks[[#This Row],[Effort]]="","M",Tasks[[#This Row],[Effort]]),EffortTable,2,FALSE),0))</f>
        <v/>
      </c>
      <c r="N474" t="str">
        <f>IF(Tasks[[#This Row],[Task]]="","",IFERROR(MATCH(Tasks[[#This Row],[Status]],{"Late","Blocked","Due soon"},0),9)*100000+N(Tasks[[#This Row],[Due]]))</f>
        <v/>
      </c>
      <c r="O474" t="str" cm="1">
        <f t="array" aca="1" ref="O4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4" t="str" cm="1">
        <f t="array" ref="P4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4" t="str" cm="1">
        <f t="array" ref="Q4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4" t="str" cm="1">
        <f t="array" ref="R4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5" spans="1:18" x14ac:dyDescent="0.25">
      <c r="A475" s="14" t="str" cm="1">
        <f t="array" ref="A475">IF(Tasks[[#This Row],[Task]]="","","T-"&amp;TEXT(ROW()-ROW(Tasks[#Headers]),"000"))</f>
        <v/>
      </c>
      <c r="B475" s="15"/>
      <c r="C475" s="15"/>
      <c r="D475" s="15"/>
      <c r="E475" s="15"/>
      <c r="F475" s="16"/>
      <c r="G475" s="16"/>
      <c r="H475" s="16"/>
      <c r="I475" s="15"/>
      <c r="J475" s="15"/>
      <c r="K4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5" s="17" t="str">
        <f>IF(Tasks[[#This Row],[Task]]="","",IFERROR(VLOOKUP(IF(Tasks[[#This Row],[Effort]]="","M",Tasks[[#This Row],[Effort]]),EffortTable,2,FALSE),0))</f>
        <v/>
      </c>
      <c r="N475" t="str">
        <f>IF(Tasks[[#This Row],[Task]]="","",IFERROR(MATCH(Tasks[[#This Row],[Status]],{"Late","Blocked","Due soon"},0),9)*100000+N(Tasks[[#This Row],[Due]]))</f>
        <v/>
      </c>
      <c r="O475" t="str" cm="1">
        <f t="array" aca="1" ref="O4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5" t="str" cm="1">
        <f t="array" ref="P4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5" t="str" cm="1">
        <f t="array" ref="Q4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5" t="str" cm="1">
        <f t="array" ref="R4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6" spans="1:18" x14ac:dyDescent="0.25">
      <c r="A476" s="14" t="str" cm="1">
        <f t="array" ref="A476">IF(Tasks[[#This Row],[Task]]="","","T-"&amp;TEXT(ROW()-ROW(Tasks[#Headers]),"000"))</f>
        <v/>
      </c>
      <c r="B476" s="15"/>
      <c r="C476" s="15"/>
      <c r="D476" s="15"/>
      <c r="E476" s="15"/>
      <c r="F476" s="16"/>
      <c r="G476" s="16"/>
      <c r="H476" s="16"/>
      <c r="I476" s="15"/>
      <c r="J476" s="15"/>
      <c r="K4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6" s="17" t="str">
        <f>IF(Tasks[[#This Row],[Task]]="","",IFERROR(VLOOKUP(IF(Tasks[[#This Row],[Effort]]="","M",Tasks[[#This Row],[Effort]]),EffortTable,2,FALSE),0))</f>
        <v/>
      </c>
      <c r="N476" t="str">
        <f>IF(Tasks[[#This Row],[Task]]="","",IFERROR(MATCH(Tasks[[#This Row],[Status]],{"Late","Blocked","Due soon"},0),9)*100000+N(Tasks[[#This Row],[Due]]))</f>
        <v/>
      </c>
      <c r="O476" t="str" cm="1">
        <f t="array" aca="1" ref="O4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6" t="str" cm="1">
        <f t="array" ref="P4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6" t="str" cm="1">
        <f t="array" ref="Q4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6" t="str" cm="1">
        <f t="array" ref="R4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7" spans="1:18" x14ac:dyDescent="0.25">
      <c r="A477" s="14" t="str" cm="1">
        <f t="array" ref="A477">IF(Tasks[[#This Row],[Task]]="","","T-"&amp;TEXT(ROW()-ROW(Tasks[#Headers]),"000"))</f>
        <v/>
      </c>
      <c r="B477" s="15"/>
      <c r="C477" s="15"/>
      <c r="D477" s="15"/>
      <c r="E477" s="15"/>
      <c r="F477" s="16"/>
      <c r="G477" s="16"/>
      <c r="H477" s="16"/>
      <c r="I477" s="15"/>
      <c r="J477" s="15"/>
      <c r="K4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7" s="17" t="str">
        <f>IF(Tasks[[#This Row],[Task]]="","",IFERROR(VLOOKUP(IF(Tasks[[#This Row],[Effort]]="","M",Tasks[[#This Row],[Effort]]),EffortTable,2,FALSE),0))</f>
        <v/>
      </c>
      <c r="N477" t="str">
        <f>IF(Tasks[[#This Row],[Task]]="","",IFERROR(MATCH(Tasks[[#This Row],[Status]],{"Late","Blocked","Due soon"},0),9)*100000+N(Tasks[[#This Row],[Due]]))</f>
        <v/>
      </c>
      <c r="O477" t="str" cm="1">
        <f t="array" aca="1" ref="O4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7" t="str" cm="1">
        <f t="array" ref="P4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7" t="str" cm="1">
        <f t="array" ref="Q4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7" t="str" cm="1">
        <f t="array" ref="R4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8" spans="1:18" x14ac:dyDescent="0.25">
      <c r="A478" s="14" t="str" cm="1">
        <f t="array" ref="A478">IF(Tasks[[#This Row],[Task]]="","","T-"&amp;TEXT(ROW()-ROW(Tasks[#Headers]),"000"))</f>
        <v/>
      </c>
      <c r="B478" s="15"/>
      <c r="C478" s="15"/>
      <c r="D478" s="15"/>
      <c r="E478" s="15"/>
      <c r="F478" s="16"/>
      <c r="G478" s="16"/>
      <c r="H478" s="16"/>
      <c r="I478" s="15"/>
      <c r="J478" s="15"/>
      <c r="K4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8" s="17" t="str">
        <f>IF(Tasks[[#This Row],[Task]]="","",IFERROR(VLOOKUP(IF(Tasks[[#This Row],[Effort]]="","M",Tasks[[#This Row],[Effort]]),EffortTable,2,FALSE),0))</f>
        <v/>
      </c>
      <c r="N478" t="str">
        <f>IF(Tasks[[#This Row],[Task]]="","",IFERROR(MATCH(Tasks[[#This Row],[Status]],{"Late","Blocked","Due soon"},0),9)*100000+N(Tasks[[#This Row],[Due]]))</f>
        <v/>
      </c>
      <c r="O478" t="str" cm="1">
        <f t="array" aca="1" ref="O4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8" t="str" cm="1">
        <f t="array" ref="P4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8" t="str" cm="1">
        <f t="array" ref="Q4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8" t="str" cm="1">
        <f t="array" ref="R4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79" spans="1:18" x14ac:dyDescent="0.25">
      <c r="A479" s="14" t="str" cm="1">
        <f t="array" ref="A479">IF(Tasks[[#This Row],[Task]]="","","T-"&amp;TEXT(ROW()-ROW(Tasks[#Headers]),"000"))</f>
        <v/>
      </c>
      <c r="B479" s="15"/>
      <c r="C479" s="15"/>
      <c r="D479" s="15"/>
      <c r="E479" s="15"/>
      <c r="F479" s="16"/>
      <c r="G479" s="16"/>
      <c r="H479" s="16"/>
      <c r="I479" s="15"/>
      <c r="J479" s="15"/>
      <c r="K4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79" s="17" t="str">
        <f>IF(Tasks[[#This Row],[Task]]="","",IFERROR(VLOOKUP(IF(Tasks[[#This Row],[Effort]]="","M",Tasks[[#This Row],[Effort]]),EffortTable,2,FALSE),0))</f>
        <v/>
      </c>
      <c r="N479" t="str">
        <f>IF(Tasks[[#This Row],[Task]]="","",IFERROR(MATCH(Tasks[[#This Row],[Status]],{"Late","Blocked","Due soon"},0),9)*100000+N(Tasks[[#This Row],[Due]]))</f>
        <v/>
      </c>
      <c r="O479" t="str" cm="1">
        <f t="array" aca="1" ref="O4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79" t="str" cm="1">
        <f t="array" ref="P4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79" t="str" cm="1">
        <f t="array" ref="Q4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79" t="str" cm="1">
        <f t="array" ref="R4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0" spans="1:18" x14ac:dyDescent="0.25">
      <c r="A480" s="14" t="str" cm="1">
        <f t="array" ref="A480">IF(Tasks[[#This Row],[Task]]="","","T-"&amp;TEXT(ROW()-ROW(Tasks[#Headers]),"000"))</f>
        <v/>
      </c>
      <c r="B480" s="15"/>
      <c r="C480" s="15"/>
      <c r="D480" s="15"/>
      <c r="E480" s="15"/>
      <c r="F480" s="16"/>
      <c r="G480" s="16"/>
      <c r="H480" s="16"/>
      <c r="I480" s="15"/>
      <c r="J480" s="15"/>
      <c r="K4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0" s="17" t="str">
        <f>IF(Tasks[[#This Row],[Task]]="","",IFERROR(VLOOKUP(IF(Tasks[[#This Row],[Effort]]="","M",Tasks[[#This Row],[Effort]]),EffortTable,2,FALSE),0))</f>
        <v/>
      </c>
      <c r="N480" t="str">
        <f>IF(Tasks[[#This Row],[Task]]="","",IFERROR(MATCH(Tasks[[#This Row],[Status]],{"Late","Blocked","Due soon"},0),9)*100000+N(Tasks[[#This Row],[Due]]))</f>
        <v/>
      </c>
      <c r="O480" t="str" cm="1">
        <f t="array" aca="1" ref="O4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0" t="str" cm="1">
        <f t="array" ref="P4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0" t="str" cm="1">
        <f t="array" ref="Q4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0" t="str" cm="1">
        <f t="array" ref="R4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1" spans="1:18" x14ac:dyDescent="0.25">
      <c r="A481" s="14" t="str" cm="1">
        <f t="array" ref="A481">IF(Tasks[[#This Row],[Task]]="","","T-"&amp;TEXT(ROW()-ROW(Tasks[#Headers]),"000"))</f>
        <v/>
      </c>
      <c r="B481" s="15"/>
      <c r="C481" s="15"/>
      <c r="D481" s="15"/>
      <c r="E481" s="15"/>
      <c r="F481" s="16"/>
      <c r="G481" s="16"/>
      <c r="H481" s="16"/>
      <c r="I481" s="15"/>
      <c r="J481" s="15"/>
      <c r="K4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1" s="17" t="str">
        <f>IF(Tasks[[#This Row],[Task]]="","",IFERROR(VLOOKUP(IF(Tasks[[#This Row],[Effort]]="","M",Tasks[[#This Row],[Effort]]),EffortTable,2,FALSE),0))</f>
        <v/>
      </c>
      <c r="N481" t="str">
        <f>IF(Tasks[[#This Row],[Task]]="","",IFERROR(MATCH(Tasks[[#This Row],[Status]],{"Late","Blocked","Due soon"},0),9)*100000+N(Tasks[[#This Row],[Due]]))</f>
        <v/>
      </c>
      <c r="O481" t="str" cm="1">
        <f t="array" aca="1" ref="O4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1" t="str" cm="1">
        <f t="array" ref="P4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1" t="str" cm="1">
        <f t="array" ref="Q4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1" t="str" cm="1">
        <f t="array" ref="R4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2" spans="1:18" x14ac:dyDescent="0.25">
      <c r="A482" s="14" t="str" cm="1">
        <f t="array" ref="A482">IF(Tasks[[#This Row],[Task]]="","","T-"&amp;TEXT(ROW()-ROW(Tasks[#Headers]),"000"))</f>
        <v/>
      </c>
      <c r="B482" s="15"/>
      <c r="C482" s="15"/>
      <c r="D482" s="15"/>
      <c r="E482" s="15"/>
      <c r="F482" s="16"/>
      <c r="G482" s="16"/>
      <c r="H482" s="16"/>
      <c r="I482" s="15"/>
      <c r="J482" s="15"/>
      <c r="K4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2" s="17" t="str">
        <f>IF(Tasks[[#This Row],[Task]]="","",IFERROR(VLOOKUP(IF(Tasks[[#This Row],[Effort]]="","M",Tasks[[#This Row],[Effort]]),EffortTable,2,FALSE),0))</f>
        <v/>
      </c>
      <c r="N482" t="str">
        <f>IF(Tasks[[#This Row],[Task]]="","",IFERROR(MATCH(Tasks[[#This Row],[Status]],{"Late","Blocked","Due soon"},0),9)*100000+N(Tasks[[#This Row],[Due]]))</f>
        <v/>
      </c>
      <c r="O482" t="str" cm="1">
        <f t="array" aca="1" ref="O4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2" t="str" cm="1">
        <f t="array" ref="P4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2" t="str" cm="1">
        <f t="array" ref="Q4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2" t="str" cm="1">
        <f t="array" ref="R4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3" spans="1:18" x14ac:dyDescent="0.25">
      <c r="A483" s="14" t="str" cm="1">
        <f t="array" ref="A483">IF(Tasks[[#This Row],[Task]]="","","T-"&amp;TEXT(ROW()-ROW(Tasks[#Headers]),"000"))</f>
        <v/>
      </c>
      <c r="B483" s="15"/>
      <c r="C483" s="15"/>
      <c r="D483" s="15"/>
      <c r="E483" s="15"/>
      <c r="F483" s="16"/>
      <c r="G483" s="16"/>
      <c r="H483" s="16"/>
      <c r="I483" s="15"/>
      <c r="J483" s="15"/>
      <c r="K4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3" s="17" t="str">
        <f>IF(Tasks[[#This Row],[Task]]="","",IFERROR(VLOOKUP(IF(Tasks[[#This Row],[Effort]]="","M",Tasks[[#This Row],[Effort]]),EffortTable,2,FALSE),0))</f>
        <v/>
      </c>
      <c r="N483" t="str">
        <f>IF(Tasks[[#This Row],[Task]]="","",IFERROR(MATCH(Tasks[[#This Row],[Status]],{"Late","Blocked","Due soon"},0),9)*100000+N(Tasks[[#This Row],[Due]]))</f>
        <v/>
      </c>
      <c r="O483" t="str" cm="1">
        <f t="array" aca="1" ref="O4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3" t="str" cm="1">
        <f t="array" ref="P4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3" t="str" cm="1">
        <f t="array" ref="Q4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3" t="str" cm="1">
        <f t="array" ref="R4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4" spans="1:18" x14ac:dyDescent="0.25">
      <c r="A484" s="14" t="str" cm="1">
        <f t="array" ref="A484">IF(Tasks[[#This Row],[Task]]="","","T-"&amp;TEXT(ROW()-ROW(Tasks[#Headers]),"000"))</f>
        <v/>
      </c>
      <c r="B484" s="15"/>
      <c r="C484" s="15"/>
      <c r="D484" s="15"/>
      <c r="E484" s="15"/>
      <c r="F484" s="16"/>
      <c r="G484" s="16"/>
      <c r="H484" s="16"/>
      <c r="I484" s="15"/>
      <c r="J484" s="15"/>
      <c r="K4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4" s="17" t="str">
        <f>IF(Tasks[[#This Row],[Task]]="","",IFERROR(VLOOKUP(IF(Tasks[[#This Row],[Effort]]="","M",Tasks[[#This Row],[Effort]]),EffortTable,2,FALSE),0))</f>
        <v/>
      </c>
      <c r="N484" t="str">
        <f>IF(Tasks[[#This Row],[Task]]="","",IFERROR(MATCH(Tasks[[#This Row],[Status]],{"Late","Blocked","Due soon"},0),9)*100000+N(Tasks[[#This Row],[Due]]))</f>
        <v/>
      </c>
      <c r="O484" t="str" cm="1">
        <f t="array" aca="1" ref="O4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4" t="str" cm="1">
        <f t="array" ref="P4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4" t="str" cm="1">
        <f t="array" ref="Q4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4" t="str" cm="1">
        <f t="array" ref="R4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5" spans="1:18" x14ac:dyDescent="0.25">
      <c r="A485" s="14" t="str" cm="1">
        <f t="array" ref="A485">IF(Tasks[[#This Row],[Task]]="","","T-"&amp;TEXT(ROW()-ROW(Tasks[#Headers]),"000"))</f>
        <v/>
      </c>
      <c r="B485" s="15"/>
      <c r="C485" s="15"/>
      <c r="D485" s="15"/>
      <c r="E485" s="15"/>
      <c r="F485" s="16"/>
      <c r="G485" s="16"/>
      <c r="H485" s="16"/>
      <c r="I485" s="15"/>
      <c r="J485" s="15"/>
      <c r="K4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5" s="17" t="str">
        <f>IF(Tasks[[#This Row],[Task]]="","",IFERROR(VLOOKUP(IF(Tasks[[#This Row],[Effort]]="","M",Tasks[[#This Row],[Effort]]),EffortTable,2,FALSE),0))</f>
        <v/>
      </c>
      <c r="N485" t="str">
        <f>IF(Tasks[[#This Row],[Task]]="","",IFERROR(MATCH(Tasks[[#This Row],[Status]],{"Late","Blocked","Due soon"},0),9)*100000+N(Tasks[[#This Row],[Due]]))</f>
        <v/>
      </c>
      <c r="O485" t="str" cm="1">
        <f t="array" aca="1" ref="O4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5" t="str" cm="1">
        <f t="array" ref="P4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5" t="str" cm="1">
        <f t="array" ref="Q4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5" t="str" cm="1">
        <f t="array" ref="R4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6" spans="1:18" x14ac:dyDescent="0.25">
      <c r="A486" s="14" t="str" cm="1">
        <f t="array" ref="A486">IF(Tasks[[#This Row],[Task]]="","","T-"&amp;TEXT(ROW()-ROW(Tasks[#Headers]),"000"))</f>
        <v/>
      </c>
      <c r="B486" s="15"/>
      <c r="C486" s="15"/>
      <c r="D486" s="15"/>
      <c r="E486" s="15"/>
      <c r="F486" s="16"/>
      <c r="G486" s="16"/>
      <c r="H486" s="16"/>
      <c r="I486" s="15"/>
      <c r="J486" s="15"/>
      <c r="K4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6" s="17" t="str">
        <f>IF(Tasks[[#This Row],[Task]]="","",IFERROR(VLOOKUP(IF(Tasks[[#This Row],[Effort]]="","M",Tasks[[#This Row],[Effort]]),EffortTable,2,FALSE),0))</f>
        <v/>
      </c>
      <c r="N486" t="str">
        <f>IF(Tasks[[#This Row],[Task]]="","",IFERROR(MATCH(Tasks[[#This Row],[Status]],{"Late","Blocked","Due soon"},0),9)*100000+N(Tasks[[#This Row],[Due]]))</f>
        <v/>
      </c>
      <c r="O486" t="str" cm="1">
        <f t="array" aca="1" ref="O4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6" t="str" cm="1">
        <f t="array" ref="P4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6" t="str" cm="1">
        <f t="array" ref="Q4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6" t="str" cm="1">
        <f t="array" ref="R4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7" spans="1:18" x14ac:dyDescent="0.25">
      <c r="A487" s="14" t="str" cm="1">
        <f t="array" ref="A487">IF(Tasks[[#This Row],[Task]]="","","T-"&amp;TEXT(ROW()-ROW(Tasks[#Headers]),"000"))</f>
        <v/>
      </c>
      <c r="B487" s="15"/>
      <c r="C487" s="15"/>
      <c r="D487" s="15"/>
      <c r="E487" s="15"/>
      <c r="F487" s="16"/>
      <c r="G487" s="16"/>
      <c r="H487" s="16"/>
      <c r="I487" s="15"/>
      <c r="J487" s="15"/>
      <c r="K4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7" s="17" t="str">
        <f>IF(Tasks[[#This Row],[Task]]="","",IFERROR(VLOOKUP(IF(Tasks[[#This Row],[Effort]]="","M",Tasks[[#This Row],[Effort]]),EffortTable,2,FALSE),0))</f>
        <v/>
      </c>
      <c r="N487" t="str">
        <f>IF(Tasks[[#This Row],[Task]]="","",IFERROR(MATCH(Tasks[[#This Row],[Status]],{"Late","Blocked","Due soon"},0),9)*100000+N(Tasks[[#This Row],[Due]]))</f>
        <v/>
      </c>
      <c r="O487" t="str" cm="1">
        <f t="array" aca="1" ref="O4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7" t="str" cm="1">
        <f t="array" ref="P4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7" t="str" cm="1">
        <f t="array" ref="Q4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7" t="str" cm="1">
        <f t="array" ref="R4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8" spans="1:18" x14ac:dyDescent="0.25">
      <c r="A488" s="14" t="str" cm="1">
        <f t="array" ref="A488">IF(Tasks[[#This Row],[Task]]="","","T-"&amp;TEXT(ROW()-ROW(Tasks[#Headers]),"000"))</f>
        <v/>
      </c>
      <c r="B488" s="15"/>
      <c r="C488" s="15"/>
      <c r="D488" s="15"/>
      <c r="E488" s="15"/>
      <c r="F488" s="16"/>
      <c r="G488" s="16"/>
      <c r="H488" s="16"/>
      <c r="I488" s="15"/>
      <c r="J488" s="15"/>
      <c r="K4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8" s="17" t="str">
        <f>IF(Tasks[[#This Row],[Task]]="","",IFERROR(VLOOKUP(IF(Tasks[[#This Row],[Effort]]="","M",Tasks[[#This Row],[Effort]]),EffortTable,2,FALSE),0))</f>
        <v/>
      </c>
      <c r="N488" t="str">
        <f>IF(Tasks[[#This Row],[Task]]="","",IFERROR(MATCH(Tasks[[#This Row],[Status]],{"Late","Blocked","Due soon"},0),9)*100000+N(Tasks[[#This Row],[Due]]))</f>
        <v/>
      </c>
      <c r="O488" t="str" cm="1">
        <f t="array" aca="1" ref="O4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8" t="str" cm="1">
        <f t="array" ref="P4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8" t="str" cm="1">
        <f t="array" ref="Q4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8" t="str" cm="1">
        <f t="array" ref="R4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89" spans="1:18" x14ac:dyDescent="0.25">
      <c r="A489" s="14" t="str" cm="1">
        <f t="array" ref="A489">IF(Tasks[[#This Row],[Task]]="","","T-"&amp;TEXT(ROW()-ROW(Tasks[#Headers]),"000"))</f>
        <v/>
      </c>
      <c r="B489" s="15"/>
      <c r="C489" s="15"/>
      <c r="D489" s="15"/>
      <c r="E489" s="15"/>
      <c r="F489" s="16"/>
      <c r="G489" s="16"/>
      <c r="H489" s="16"/>
      <c r="I489" s="15"/>
      <c r="J489" s="15"/>
      <c r="K4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89" s="17" t="str">
        <f>IF(Tasks[[#This Row],[Task]]="","",IFERROR(VLOOKUP(IF(Tasks[[#This Row],[Effort]]="","M",Tasks[[#This Row],[Effort]]),EffortTable,2,FALSE),0))</f>
        <v/>
      </c>
      <c r="N489" t="str">
        <f>IF(Tasks[[#This Row],[Task]]="","",IFERROR(MATCH(Tasks[[#This Row],[Status]],{"Late","Blocked","Due soon"},0),9)*100000+N(Tasks[[#This Row],[Due]]))</f>
        <v/>
      </c>
      <c r="O489" t="str" cm="1">
        <f t="array" aca="1" ref="O4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89" t="str" cm="1">
        <f t="array" ref="P4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89" t="str" cm="1">
        <f t="array" ref="Q4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89" t="str" cm="1">
        <f t="array" ref="R4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0" spans="1:18" x14ac:dyDescent="0.25">
      <c r="A490" s="14" t="str" cm="1">
        <f t="array" ref="A490">IF(Tasks[[#This Row],[Task]]="","","T-"&amp;TEXT(ROW()-ROW(Tasks[#Headers]),"000"))</f>
        <v/>
      </c>
      <c r="B490" s="15"/>
      <c r="C490" s="15"/>
      <c r="D490" s="15"/>
      <c r="E490" s="15"/>
      <c r="F490" s="16"/>
      <c r="G490" s="16"/>
      <c r="H490" s="16"/>
      <c r="I490" s="15"/>
      <c r="J490" s="15"/>
      <c r="K4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0" s="17" t="str">
        <f>IF(Tasks[[#This Row],[Task]]="","",IFERROR(VLOOKUP(IF(Tasks[[#This Row],[Effort]]="","M",Tasks[[#This Row],[Effort]]),EffortTable,2,FALSE),0))</f>
        <v/>
      </c>
      <c r="N490" t="str">
        <f>IF(Tasks[[#This Row],[Task]]="","",IFERROR(MATCH(Tasks[[#This Row],[Status]],{"Late","Blocked","Due soon"},0),9)*100000+N(Tasks[[#This Row],[Due]]))</f>
        <v/>
      </c>
      <c r="O490" t="str" cm="1">
        <f t="array" aca="1" ref="O4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0" t="str" cm="1">
        <f t="array" ref="P4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0" t="str" cm="1">
        <f t="array" ref="Q4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0" t="str" cm="1">
        <f t="array" ref="R4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1" spans="1:18" x14ac:dyDescent="0.25">
      <c r="A491" s="14" t="str" cm="1">
        <f t="array" ref="A491">IF(Tasks[[#This Row],[Task]]="","","T-"&amp;TEXT(ROW()-ROW(Tasks[#Headers]),"000"))</f>
        <v/>
      </c>
      <c r="B491" s="15"/>
      <c r="C491" s="15"/>
      <c r="D491" s="15"/>
      <c r="E491" s="15"/>
      <c r="F491" s="16"/>
      <c r="G491" s="16"/>
      <c r="H491" s="16"/>
      <c r="I491" s="15"/>
      <c r="J491" s="15"/>
      <c r="K4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1" s="17" t="str">
        <f>IF(Tasks[[#This Row],[Task]]="","",IFERROR(VLOOKUP(IF(Tasks[[#This Row],[Effort]]="","M",Tasks[[#This Row],[Effort]]),EffortTable,2,FALSE),0))</f>
        <v/>
      </c>
      <c r="N491" t="str">
        <f>IF(Tasks[[#This Row],[Task]]="","",IFERROR(MATCH(Tasks[[#This Row],[Status]],{"Late","Blocked","Due soon"},0),9)*100000+N(Tasks[[#This Row],[Due]]))</f>
        <v/>
      </c>
      <c r="O491" t="str" cm="1">
        <f t="array" aca="1" ref="O4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1" t="str" cm="1">
        <f t="array" ref="P4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1" t="str" cm="1">
        <f t="array" ref="Q4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1" t="str" cm="1">
        <f t="array" ref="R4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2" spans="1:18" x14ac:dyDescent="0.25">
      <c r="A492" s="14" t="str" cm="1">
        <f t="array" ref="A492">IF(Tasks[[#This Row],[Task]]="","","T-"&amp;TEXT(ROW()-ROW(Tasks[#Headers]),"000"))</f>
        <v/>
      </c>
      <c r="B492" s="15"/>
      <c r="C492" s="15"/>
      <c r="D492" s="15"/>
      <c r="E492" s="15"/>
      <c r="F492" s="16"/>
      <c r="G492" s="16"/>
      <c r="H492" s="16"/>
      <c r="I492" s="15"/>
      <c r="J492" s="15"/>
      <c r="K4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2" s="17" t="str">
        <f>IF(Tasks[[#This Row],[Task]]="","",IFERROR(VLOOKUP(IF(Tasks[[#This Row],[Effort]]="","M",Tasks[[#This Row],[Effort]]),EffortTable,2,FALSE),0))</f>
        <v/>
      </c>
      <c r="N492" t="str">
        <f>IF(Tasks[[#This Row],[Task]]="","",IFERROR(MATCH(Tasks[[#This Row],[Status]],{"Late","Blocked","Due soon"},0),9)*100000+N(Tasks[[#This Row],[Due]]))</f>
        <v/>
      </c>
      <c r="O492" t="str" cm="1">
        <f t="array" aca="1" ref="O4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2" t="str" cm="1">
        <f t="array" ref="P4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2" t="str" cm="1">
        <f t="array" ref="Q4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2" t="str" cm="1">
        <f t="array" ref="R4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3" spans="1:18" x14ac:dyDescent="0.25">
      <c r="A493" s="14" t="str" cm="1">
        <f t="array" ref="A493">IF(Tasks[[#This Row],[Task]]="","","T-"&amp;TEXT(ROW()-ROW(Tasks[#Headers]),"000"))</f>
        <v/>
      </c>
      <c r="B493" s="15"/>
      <c r="C493" s="15"/>
      <c r="D493" s="15"/>
      <c r="E493" s="15"/>
      <c r="F493" s="16"/>
      <c r="G493" s="16"/>
      <c r="H493" s="16"/>
      <c r="I493" s="15"/>
      <c r="J493" s="15"/>
      <c r="K4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3" s="17" t="str">
        <f>IF(Tasks[[#This Row],[Task]]="","",IFERROR(VLOOKUP(IF(Tasks[[#This Row],[Effort]]="","M",Tasks[[#This Row],[Effort]]),EffortTable,2,FALSE),0))</f>
        <v/>
      </c>
      <c r="N493" t="str">
        <f>IF(Tasks[[#This Row],[Task]]="","",IFERROR(MATCH(Tasks[[#This Row],[Status]],{"Late","Blocked","Due soon"},0),9)*100000+N(Tasks[[#This Row],[Due]]))</f>
        <v/>
      </c>
      <c r="O493" t="str" cm="1">
        <f t="array" aca="1" ref="O4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3" t="str" cm="1">
        <f t="array" ref="P4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3" t="str" cm="1">
        <f t="array" ref="Q4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3" t="str" cm="1">
        <f t="array" ref="R4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4" spans="1:18" x14ac:dyDescent="0.25">
      <c r="A494" s="14" t="str" cm="1">
        <f t="array" ref="A494">IF(Tasks[[#This Row],[Task]]="","","T-"&amp;TEXT(ROW()-ROW(Tasks[#Headers]),"000"))</f>
        <v/>
      </c>
      <c r="B494" s="15"/>
      <c r="C494" s="15"/>
      <c r="D494" s="15"/>
      <c r="E494" s="15"/>
      <c r="F494" s="16"/>
      <c r="G494" s="16"/>
      <c r="H494" s="16"/>
      <c r="I494" s="15"/>
      <c r="J494" s="15"/>
      <c r="K4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4" s="17" t="str">
        <f>IF(Tasks[[#This Row],[Task]]="","",IFERROR(VLOOKUP(IF(Tasks[[#This Row],[Effort]]="","M",Tasks[[#This Row],[Effort]]),EffortTable,2,FALSE),0))</f>
        <v/>
      </c>
      <c r="N494" t="str">
        <f>IF(Tasks[[#This Row],[Task]]="","",IFERROR(MATCH(Tasks[[#This Row],[Status]],{"Late","Blocked","Due soon"},0),9)*100000+N(Tasks[[#This Row],[Due]]))</f>
        <v/>
      </c>
      <c r="O494" t="str" cm="1">
        <f t="array" aca="1" ref="O4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4" t="str" cm="1">
        <f t="array" ref="P4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4" t="str" cm="1">
        <f t="array" ref="Q4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4" t="str" cm="1">
        <f t="array" ref="R4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5" spans="1:18" x14ac:dyDescent="0.25">
      <c r="A495" s="14" t="str" cm="1">
        <f t="array" ref="A495">IF(Tasks[[#This Row],[Task]]="","","T-"&amp;TEXT(ROW()-ROW(Tasks[#Headers]),"000"))</f>
        <v/>
      </c>
      <c r="B495" s="15"/>
      <c r="C495" s="15"/>
      <c r="D495" s="15"/>
      <c r="E495" s="15"/>
      <c r="F495" s="16"/>
      <c r="G495" s="16"/>
      <c r="H495" s="16"/>
      <c r="I495" s="15"/>
      <c r="J495" s="15"/>
      <c r="K4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5" s="17" t="str">
        <f>IF(Tasks[[#This Row],[Task]]="","",IFERROR(VLOOKUP(IF(Tasks[[#This Row],[Effort]]="","M",Tasks[[#This Row],[Effort]]),EffortTable,2,FALSE),0))</f>
        <v/>
      </c>
      <c r="N495" t="str">
        <f>IF(Tasks[[#This Row],[Task]]="","",IFERROR(MATCH(Tasks[[#This Row],[Status]],{"Late","Blocked","Due soon"},0),9)*100000+N(Tasks[[#This Row],[Due]]))</f>
        <v/>
      </c>
      <c r="O495" t="str" cm="1">
        <f t="array" aca="1" ref="O4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5" t="str" cm="1">
        <f t="array" ref="P4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5" t="str" cm="1">
        <f t="array" ref="Q4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5" t="str" cm="1">
        <f t="array" ref="R4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6" spans="1:18" x14ac:dyDescent="0.25">
      <c r="A496" s="14" t="str" cm="1">
        <f t="array" ref="A496">IF(Tasks[[#This Row],[Task]]="","","T-"&amp;TEXT(ROW()-ROW(Tasks[#Headers]),"000"))</f>
        <v/>
      </c>
      <c r="B496" s="15"/>
      <c r="C496" s="15"/>
      <c r="D496" s="15"/>
      <c r="E496" s="15"/>
      <c r="F496" s="16"/>
      <c r="G496" s="16"/>
      <c r="H496" s="16"/>
      <c r="I496" s="15"/>
      <c r="J496" s="15"/>
      <c r="K4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6" s="17" t="str">
        <f>IF(Tasks[[#This Row],[Task]]="","",IFERROR(VLOOKUP(IF(Tasks[[#This Row],[Effort]]="","M",Tasks[[#This Row],[Effort]]),EffortTable,2,FALSE),0))</f>
        <v/>
      </c>
      <c r="N496" t="str">
        <f>IF(Tasks[[#This Row],[Task]]="","",IFERROR(MATCH(Tasks[[#This Row],[Status]],{"Late","Blocked","Due soon"},0),9)*100000+N(Tasks[[#This Row],[Due]]))</f>
        <v/>
      </c>
      <c r="O496" t="str" cm="1">
        <f t="array" aca="1" ref="O4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6" t="str" cm="1">
        <f t="array" ref="P4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6" t="str" cm="1">
        <f t="array" ref="Q4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6" t="str" cm="1">
        <f t="array" ref="R4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7" spans="1:18" x14ac:dyDescent="0.25">
      <c r="A497" s="14" t="str" cm="1">
        <f t="array" ref="A497">IF(Tasks[[#This Row],[Task]]="","","T-"&amp;TEXT(ROW()-ROW(Tasks[#Headers]),"000"))</f>
        <v/>
      </c>
      <c r="B497" s="15"/>
      <c r="C497" s="15"/>
      <c r="D497" s="15"/>
      <c r="E497" s="15"/>
      <c r="F497" s="16"/>
      <c r="G497" s="16"/>
      <c r="H497" s="16"/>
      <c r="I497" s="15"/>
      <c r="J497" s="15"/>
      <c r="K4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7" s="17" t="str">
        <f>IF(Tasks[[#This Row],[Task]]="","",IFERROR(VLOOKUP(IF(Tasks[[#This Row],[Effort]]="","M",Tasks[[#This Row],[Effort]]),EffortTable,2,FALSE),0))</f>
        <v/>
      </c>
      <c r="N497" t="str">
        <f>IF(Tasks[[#This Row],[Task]]="","",IFERROR(MATCH(Tasks[[#This Row],[Status]],{"Late","Blocked","Due soon"},0),9)*100000+N(Tasks[[#This Row],[Due]]))</f>
        <v/>
      </c>
      <c r="O497" t="str" cm="1">
        <f t="array" aca="1" ref="O4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7" t="str" cm="1">
        <f t="array" ref="P4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7" t="str" cm="1">
        <f t="array" ref="Q4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7" t="str" cm="1">
        <f t="array" ref="R4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8" spans="1:18" x14ac:dyDescent="0.25">
      <c r="A498" s="14" t="str" cm="1">
        <f t="array" ref="A498">IF(Tasks[[#This Row],[Task]]="","","T-"&amp;TEXT(ROW()-ROW(Tasks[#Headers]),"000"))</f>
        <v/>
      </c>
      <c r="B498" s="15"/>
      <c r="C498" s="15"/>
      <c r="D498" s="15"/>
      <c r="E498" s="15"/>
      <c r="F498" s="16"/>
      <c r="G498" s="16"/>
      <c r="H498" s="16"/>
      <c r="I498" s="15"/>
      <c r="J498" s="15"/>
      <c r="K4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8" s="17" t="str">
        <f>IF(Tasks[[#This Row],[Task]]="","",IFERROR(VLOOKUP(IF(Tasks[[#This Row],[Effort]]="","M",Tasks[[#This Row],[Effort]]),EffortTable,2,FALSE),0))</f>
        <v/>
      </c>
      <c r="N498" t="str">
        <f>IF(Tasks[[#This Row],[Task]]="","",IFERROR(MATCH(Tasks[[#This Row],[Status]],{"Late","Blocked","Due soon"},0),9)*100000+N(Tasks[[#This Row],[Due]]))</f>
        <v/>
      </c>
      <c r="O498" t="str" cm="1">
        <f t="array" aca="1" ref="O4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8" t="str" cm="1">
        <f t="array" ref="P4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8" t="str" cm="1">
        <f t="array" ref="Q4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8" t="str" cm="1">
        <f t="array" ref="R4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499" spans="1:18" x14ac:dyDescent="0.25">
      <c r="A499" s="14" t="str" cm="1">
        <f t="array" ref="A499">IF(Tasks[[#This Row],[Task]]="","","T-"&amp;TEXT(ROW()-ROW(Tasks[#Headers]),"000"))</f>
        <v/>
      </c>
      <c r="B499" s="15"/>
      <c r="C499" s="15"/>
      <c r="D499" s="15"/>
      <c r="E499" s="15"/>
      <c r="F499" s="16"/>
      <c r="G499" s="16"/>
      <c r="H499" s="16"/>
      <c r="I499" s="15"/>
      <c r="J499" s="15"/>
      <c r="K4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4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499" s="17" t="str">
        <f>IF(Tasks[[#This Row],[Task]]="","",IFERROR(VLOOKUP(IF(Tasks[[#This Row],[Effort]]="","M",Tasks[[#This Row],[Effort]]),EffortTable,2,FALSE),0))</f>
        <v/>
      </c>
      <c r="N499" t="str">
        <f>IF(Tasks[[#This Row],[Task]]="","",IFERROR(MATCH(Tasks[[#This Row],[Status]],{"Late","Blocked","Due soon"},0),9)*100000+N(Tasks[[#This Row],[Due]]))</f>
        <v/>
      </c>
      <c r="O499" t="str" cm="1">
        <f t="array" aca="1" ref="O4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499" t="str" cm="1">
        <f t="array" ref="P4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499" t="str" cm="1">
        <f t="array" ref="Q4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499" t="str" cm="1">
        <f t="array" ref="R4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0" spans="1:18" x14ac:dyDescent="0.25">
      <c r="A500" s="14" t="str" cm="1">
        <f t="array" ref="A500">IF(Tasks[[#This Row],[Task]]="","","T-"&amp;TEXT(ROW()-ROW(Tasks[#Headers]),"000"))</f>
        <v/>
      </c>
      <c r="B500" s="15"/>
      <c r="C500" s="15"/>
      <c r="D500" s="15"/>
      <c r="E500" s="15"/>
      <c r="F500" s="16"/>
      <c r="G500" s="16"/>
      <c r="H500" s="16"/>
      <c r="I500" s="15"/>
      <c r="J500" s="15"/>
      <c r="K5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0" s="17" t="str">
        <f>IF(Tasks[[#This Row],[Task]]="","",IFERROR(VLOOKUP(IF(Tasks[[#This Row],[Effort]]="","M",Tasks[[#This Row],[Effort]]),EffortTable,2,FALSE),0))</f>
        <v/>
      </c>
      <c r="N500" t="str">
        <f>IF(Tasks[[#This Row],[Task]]="","",IFERROR(MATCH(Tasks[[#This Row],[Status]],{"Late","Blocked","Due soon"},0),9)*100000+N(Tasks[[#This Row],[Due]]))</f>
        <v/>
      </c>
      <c r="O500" t="str" cm="1">
        <f t="array" aca="1" ref="O5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0" t="str" cm="1">
        <f t="array" ref="P5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0" t="str" cm="1">
        <f t="array" ref="Q5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0" t="str" cm="1">
        <f t="array" ref="R5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1" spans="1:18" x14ac:dyDescent="0.25">
      <c r="A501" s="14" t="str" cm="1">
        <f t="array" ref="A501">IF(Tasks[[#This Row],[Task]]="","","T-"&amp;TEXT(ROW()-ROW(Tasks[#Headers]),"000"))</f>
        <v/>
      </c>
      <c r="B501" s="15"/>
      <c r="C501" s="15"/>
      <c r="D501" s="15"/>
      <c r="E501" s="15"/>
      <c r="F501" s="16"/>
      <c r="G501" s="16"/>
      <c r="H501" s="16"/>
      <c r="I501" s="15"/>
      <c r="J501" s="15"/>
      <c r="K5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1" s="17" t="str">
        <f>IF(Tasks[[#This Row],[Task]]="","",IFERROR(VLOOKUP(IF(Tasks[[#This Row],[Effort]]="","M",Tasks[[#This Row],[Effort]]),EffortTable,2,FALSE),0))</f>
        <v/>
      </c>
      <c r="N501" t="str">
        <f>IF(Tasks[[#This Row],[Task]]="","",IFERROR(MATCH(Tasks[[#This Row],[Status]],{"Late","Blocked","Due soon"},0),9)*100000+N(Tasks[[#This Row],[Due]]))</f>
        <v/>
      </c>
      <c r="O501" t="str" cm="1">
        <f t="array" aca="1" ref="O5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1" t="str" cm="1">
        <f t="array" ref="P5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1" t="str" cm="1">
        <f t="array" ref="Q5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1" t="str" cm="1">
        <f t="array" ref="R5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2" spans="1:18" x14ac:dyDescent="0.25">
      <c r="A502" s="14" t="str" cm="1">
        <f t="array" ref="A502">IF(Tasks[[#This Row],[Task]]="","","T-"&amp;TEXT(ROW()-ROW(Tasks[#Headers]),"000"))</f>
        <v/>
      </c>
      <c r="B502" s="15"/>
      <c r="C502" s="15"/>
      <c r="D502" s="15"/>
      <c r="E502" s="15"/>
      <c r="F502" s="16"/>
      <c r="G502" s="16"/>
      <c r="H502" s="16"/>
      <c r="I502" s="15"/>
      <c r="J502" s="15"/>
      <c r="K5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2" s="17" t="str">
        <f>IF(Tasks[[#This Row],[Task]]="","",IFERROR(VLOOKUP(IF(Tasks[[#This Row],[Effort]]="","M",Tasks[[#This Row],[Effort]]),EffortTable,2,FALSE),0))</f>
        <v/>
      </c>
      <c r="N502" t="str">
        <f>IF(Tasks[[#This Row],[Task]]="","",IFERROR(MATCH(Tasks[[#This Row],[Status]],{"Late","Blocked","Due soon"},0),9)*100000+N(Tasks[[#This Row],[Due]]))</f>
        <v/>
      </c>
      <c r="O502" t="str" cm="1">
        <f t="array" aca="1" ref="O5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2" t="str" cm="1">
        <f t="array" ref="P5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2" t="str" cm="1">
        <f t="array" ref="Q5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2" t="str" cm="1">
        <f t="array" ref="R5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3" spans="1:18" x14ac:dyDescent="0.25">
      <c r="A503" s="14" t="str" cm="1">
        <f t="array" ref="A503">IF(Tasks[[#This Row],[Task]]="","","T-"&amp;TEXT(ROW()-ROW(Tasks[#Headers]),"000"))</f>
        <v/>
      </c>
      <c r="B503" s="15"/>
      <c r="C503" s="15"/>
      <c r="D503" s="15"/>
      <c r="E503" s="15"/>
      <c r="F503" s="16"/>
      <c r="G503" s="16"/>
      <c r="H503" s="16"/>
      <c r="I503" s="15"/>
      <c r="J503" s="15"/>
      <c r="K5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3" s="17" t="str">
        <f>IF(Tasks[[#This Row],[Task]]="","",IFERROR(VLOOKUP(IF(Tasks[[#This Row],[Effort]]="","M",Tasks[[#This Row],[Effort]]),EffortTable,2,FALSE),0))</f>
        <v/>
      </c>
      <c r="N503" t="str">
        <f>IF(Tasks[[#This Row],[Task]]="","",IFERROR(MATCH(Tasks[[#This Row],[Status]],{"Late","Blocked","Due soon"},0),9)*100000+N(Tasks[[#This Row],[Due]]))</f>
        <v/>
      </c>
      <c r="O503" t="str" cm="1">
        <f t="array" aca="1" ref="O5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3" t="str" cm="1">
        <f t="array" ref="P5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3" t="str" cm="1">
        <f t="array" ref="Q5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3" t="str" cm="1">
        <f t="array" ref="R5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4" spans="1:18" x14ac:dyDescent="0.25">
      <c r="A504" s="14" t="str" cm="1">
        <f t="array" ref="A504">IF(Tasks[[#This Row],[Task]]="","","T-"&amp;TEXT(ROW()-ROW(Tasks[#Headers]),"000"))</f>
        <v/>
      </c>
      <c r="B504" s="15"/>
      <c r="C504" s="15"/>
      <c r="D504" s="15"/>
      <c r="E504" s="15"/>
      <c r="F504" s="16"/>
      <c r="G504" s="16"/>
      <c r="H504" s="16"/>
      <c r="I504" s="15"/>
      <c r="J504" s="15"/>
      <c r="K5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4" s="17" t="str">
        <f>IF(Tasks[[#This Row],[Task]]="","",IFERROR(VLOOKUP(IF(Tasks[[#This Row],[Effort]]="","M",Tasks[[#This Row],[Effort]]),EffortTable,2,FALSE),0))</f>
        <v/>
      </c>
      <c r="N504" t="str">
        <f>IF(Tasks[[#This Row],[Task]]="","",IFERROR(MATCH(Tasks[[#This Row],[Status]],{"Late","Blocked","Due soon"},0),9)*100000+N(Tasks[[#This Row],[Due]]))</f>
        <v/>
      </c>
      <c r="O504" t="str" cm="1">
        <f t="array" aca="1" ref="O5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4" t="str" cm="1">
        <f t="array" ref="P5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4" t="str" cm="1">
        <f t="array" ref="Q5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4" t="str" cm="1">
        <f t="array" ref="R5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5" spans="1:18" x14ac:dyDescent="0.25">
      <c r="A505" s="14" t="str" cm="1">
        <f t="array" ref="A505">IF(Tasks[[#This Row],[Task]]="","","T-"&amp;TEXT(ROW()-ROW(Tasks[#Headers]),"000"))</f>
        <v/>
      </c>
      <c r="B505" s="15"/>
      <c r="C505" s="15"/>
      <c r="D505" s="15"/>
      <c r="E505" s="15"/>
      <c r="F505" s="16"/>
      <c r="G505" s="16"/>
      <c r="H505" s="16"/>
      <c r="I505" s="15"/>
      <c r="J505" s="15"/>
      <c r="K5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5" s="17" t="str">
        <f>IF(Tasks[[#This Row],[Task]]="","",IFERROR(VLOOKUP(IF(Tasks[[#This Row],[Effort]]="","M",Tasks[[#This Row],[Effort]]),EffortTable,2,FALSE),0))</f>
        <v/>
      </c>
      <c r="N505" t="str">
        <f>IF(Tasks[[#This Row],[Task]]="","",IFERROR(MATCH(Tasks[[#This Row],[Status]],{"Late","Blocked","Due soon"},0),9)*100000+N(Tasks[[#This Row],[Due]]))</f>
        <v/>
      </c>
      <c r="O505" t="str" cm="1">
        <f t="array" aca="1" ref="O5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5" t="str" cm="1">
        <f t="array" ref="P5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5" t="str" cm="1">
        <f t="array" ref="Q5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5" t="str" cm="1">
        <f t="array" ref="R5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6" spans="1:18" x14ac:dyDescent="0.25">
      <c r="A506" s="14" t="str" cm="1">
        <f t="array" ref="A506">IF(Tasks[[#This Row],[Task]]="","","T-"&amp;TEXT(ROW()-ROW(Tasks[#Headers]),"000"))</f>
        <v/>
      </c>
      <c r="B506" s="15"/>
      <c r="C506" s="15"/>
      <c r="D506" s="15"/>
      <c r="E506" s="15"/>
      <c r="F506" s="16"/>
      <c r="G506" s="16"/>
      <c r="H506" s="16"/>
      <c r="I506" s="15"/>
      <c r="J506" s="15"/>
      <c r="K5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6" s="17" t="str">
        <f>IF(Tasks[[#This Row],[Task]]="","",IFERROR(VLOOKUP(IF(Tasks[[#This Row],[Effort]]="","M",Tasks[[#This Row],[Effort]]),EffortTable,2,FALSE),0))</f>
        <v/>
      </c>
      <c r="N506" t="str">
        <f>IF(Tasks[[#This Row],[Task]]="","",IFERROR(MATCH(Tasks[[#This Row],[Status]],{"Late","Blocked","Due soon"},0),9)*100000+N(Tasks[[#This Row],[Due]]))</f>
        <v/>
      </c>
      <c r="O506" t="str" cm="1">
        <f t="array" aca="1" ref="O5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6" t="str" cm="1">
        <f t="array" ref="P5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6" t="str" cm="1">
        <f t="array" ref="Q5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6" t="str" cm="1">
        <f t="array" ref="R5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7" spans="1:18" x14ac:dyDescent="0.25">
      <c r="A507" s="14" t="str" cm="1">
        <f t="array" ref="A507">IF(Tasks[[#This Row],[Task]]="","","T-"&amp;TEXT(ROW()-ROW(Tasks[#Headers]),"000"))</f>
        <v/>
      </c>
      <c r="B507" s="15"/>
      <c r="C507" s="15"/>
      <c r="D507" s="15"/>
      <c r="E507" s="15"/>
      <c r="F507" s="16"/>
      <c r="G507" s="16"/>
      <c r="H507" s="16"/>
      <c r="I507" s="15"/>
      <c r="J507" s="15"/>
      <c r="K5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7" s="17" t="str">
        <f>IF(Tasks[[#This Row],[Task]]="","",IFERROR(VLOOKUP(IF(Tasks[[#This Row],[Effort]]="","M",Tasks[[#This Row],[Effort]]),EffortTable,2,FALSE),0))</f>
        <v/>
      </c>
      <c r="N507" t="str">
        <f>IF(Tasks[[#This Row],[Task]]="","",IFERROR(MATCH(Tasks[[#This Row],[Status]],{"Late","Blocked","Due soon"},0),9)*100000+N(Tasks[[#This Row],[Due]]))</f>
        <v/>
      </c>
      <c r="O507" t="str" cm="1">
        <f t="array" aca="1" ref="O5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7" t="str" cm="1">
        <f t="array" ref="P5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7" t="str" cm="1">
        <f t="array" ref="Q5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7" t="str" cm="1">
        <f t="array" ref="R5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8" spans="1:18" x14ac:dyDescent="0.25">
      <c r="A508" s="14" t="str" cm="1">
        <f t="array" ref="A508">IF(Tasks[[#This Row],[Task]]="","","T-"&amp;TEXT(ROW()-ROW(Tasks[#Headers]),"000"))</f>
        <v/>
      </c>
      <c r="B508" s="15"/>
      <c r="C508" s="15"/>
      <c r="D508" s="15"/>
      <c r="E508" s="15"/>
      <c r="F508" s="16"/>
      <c r="G508" s="16"/>
      <c r="H508" s="16"/>
      <c r="I508" s="15"/>
      <c r="J508" s="15"/>
      <c r="K5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8" s="17" t="str">
        <f>IF(Tasks[[#This Row],[Task]]="","",IFERROR(VLOOKUP(IF(Tasks[[#This Row],[Effort]]="","M",Tasks[[#This Row],[Effort]]),EffortTable,2,FALSE),0))</f>
        <v/>
      </c>
      <c r="N508" t="str">
        <f>IF(Tasks[[#This Row],[Task]]="","",IFERROR(MATCH(Tasks[[#This Row],[Status]],{"Late","Blocked","Due soon"},0),9)*100000+N(Tasks[[#This Row],[Due]]))</f>
        <v/>
      </c>
      <c r="O508" t="str" cm="1">
        <f t="array" aca="1" ref="O5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8" t="str" cm="1">
        <f t="array" ref="P5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8" t="str" cm="1">
        <f t="array" ref="Q5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8" t="str" cm="1">
        <f t="array" ref="R5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09" spans="1:18" x14ac:dyDescent="0.25">
      <c r="A509" s="14" t="str" cm="1">
        <f t="array" ref="A509">IF(Tasks[[#This Row],[Task]]="","","T-"&amp;TEXT(ROW()-ROW(Tasks[#Headers]),"000"))</f>
        <v/>
      </c>
      <c r="B509" s="15"/>
      <c r="C509" s="15"/>
      <c r="D509" s="15"/>
      <c r="E509" s="15"/>
      <c r="F509" s="16"/>
      <c r="G509" s="16"/>
      <c r="H509" s="16"/>
      <c r="I509" s="15"/>
      <c r="J509" s="15"/>
      <c r="K5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09" s="17" t="str">
        <f>IF(Tasks[[#This Row],[Task]]="","",IFERROR(VLOOKUP(IF(Tasks[[#This Row],[Effort]]="","M",Tasks[[#This Row],[Effort]]),EffortTable,2,FALSE),0))</f>
        <v/>
      </c>
      <c r="N509" t="str">
        <f>IF(Tasks[[#This Row],[Task]]="","",IFERROR(MATCH(Tasks[[#This Row],[Status]],{"Late","Blocked","Due soon"},0),9)*100000+N(Tasks[[#This Row],[Due]]))</f>
        <v/>
      </c>
      <c r="O509" t="str" cm="1">
        <f t="array" aca="1" ref="O5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09" t="str" cm="1">
        <f t="array" ref="P5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09" t="str" cm="1">
        <f t="array" ref="Q5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09" t="str" cm="1">
        <f t="array" ref="R5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0" spans="1:18" x14ac:dyDescent="0.25">
      <c r="A510" s="14" t="str" cm="1">
        <f t="array" ref="A510">IF(Tasks[[#This Row],[Task]]="","","T-"&amp;TEXT(ROW()-ROW(Tasks[#Headers]),"000"))</f>
        <v/>
      </c>
      <c r="B510" s="15"/>
      <c r="C510" s="15"/>
      <c r="D510" s="15"/>
      <c r="E510" s="15"/>
      <c r="F510" s="16"/>
      <c r="G510" s="16"/>
      <c r="H510" s="16"/>
      <c r="I510" s="15"/>
      <c r="J510" s="15"/>
      <c r="K5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0" s="17" t="str">
        <f>IF(Tasks[[#This Row],[Task]]="","",IFERROR(VLOOKUP(IF(Tasks[[#This Row],[Effort]]="","M",Tasks[[#This Row],[Effort]]),EffortTable,2,FALSE),0))</f>
        <v/>
      </c>
      <c r="N510" t="str">
        <f>IF(Tasks[[#This Row],[Task]]="","",IFERROR(MATCH(Tasks[[#This Row],[Status]],{"Late","Blocked","Due soon"},0),9)*100000+N(Tasks[[#This Row],[Due]]))</f>
        <v/>
      </c>
      <c r="O510" t="str" cm="1">
        <f t="array" aca="1" ref="O5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0" t="str" cm="1">
        <f t="array" ref="P5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0" t="str" cm="1">
        <f t="array" ref="Q5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0" t="str" cm="1">
        <f t="array" ref="R5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1" spans="1:18" x14ac:dyDescent="0.25">
      <c r="A511" s="14" t="str" cm="1">
        <f t="array" ref="A511">IF(Tasks[[#This Row],[Task]]="","","T-"&amp;TEXT(ROW()-ROW(Tasks[#Headers]),"000"))</f>
        <v/>
      </c>
      <c r="B511" s="15"/>
      <c r="C511" s="15"/>
      <c r="D511" s="15"/>
      <c r="E511" s="15"/>
      <c r="F511" s="16"/>
      <c r="G511" s="16"/>
      <c r="H511" s="16"/>
      <c r="I511" s="15"/>
      <c r="J511" s="15"/>
      <c r="K5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1" s="17" t="str">
        <f>IF(Tasks[[#This Row],[Task]]="","",IFERROR(VLOOKUP(IF(Tasks[[#This Row],[Effort]]="","M",Tasks[[#This Row],[Effort]]),EffortTable,2,FALSE),0))</f>
        <v/>
      </c>
      <c r="N511" t="str">
        <f>IF(Tasks[[#This Row],[Task]]="","",IFERROR(MATCH(Tasks[[#This Row],[Status]],{"Late","Blocked","Due soon"},0),9)*100000+N(Tasks[[#This Row],[Due]]))</f>
        <v/>
      </c>
      <c r="O511" t="str" cm="1">
        <f t="array" aca="1" ref="O5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1" t="str" cm="1">
        <f t="array" ref="P5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1" t="str" cm="1">
        <f t="array" ref="Q5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1" t="str" cm="1">
        <f t="array" ref="R5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2" spans="1:18" x14ac:dyDescent="0.25">
      <c r="A512" s="14" t="str" cm="1">
        <f t="array" ref="A512">IF(Tasks[[#This Row],[Task]]="","","T-"&amp;TEXT(ROW()-ROW(Tasks[#Headers]),"000"))</f>
        <v/>
      </c>
      <c r="B512" s="15"/>
      <c r="C512" s="15"/>
      <c r="D512" s="15"/>
      <c r="E512" s="15"/>
      <c r="F512" s="16"/>
      <c r="G512" s="16"/>
      <c r="H512" s="16"/>
      <c r="I512" s="15"/>
      <c r="J512" s="15"/>
      <c r="K5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2" s="17" t="str">
        <f>IF(Tasks[[#This Row],[Task]]="","",IFERROR(VLOOKUP(IF(Tasks[[#This Row],[Effort]]="","M",Tasks[[#This Row],[Effort]]),EffortTable,2,FALSE),0))</f>
        <v/>
      </c>
      <c r="N512" t="str">
        <f>IF(Tasks[[#This Row],[Task]]="","",IFERROR(MATCH(Tasks[[#This Row],[Status]],{"Late","Blocked","Due soon"},0),9)*100000+N(Tasks[[#This Row],[Due]]))</f>
        <v/>
      </c>
      <c r="O512" t="str" cm="1">
        <f t="array" aca="1" ref="O5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2" t="str" cm="1">
        <f t="array" ref="P5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2" t="str" cm="1">
        <f t="array" ref="Q5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2" t="str" cm="1">
        <f t="array" ref="R5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3" spans="1:18" x14ac:dyDescent="0.25">
      <c r="A513" s="14" t="str" cm="1">
        <f t="array" ref="A513">IF(Tasks[[#This Row],[Task]]="","","T-"&amp;TEXT(ROW()-ROW(Tasks[#Headers]),"000"))</f>
        <v/>
      </c>
      <c r="B513" s="15"/>
      <c r="C513" s="15"/>
      <c r="D513" s="15"/>
      <c r="E513" s="15"/>
      <c r="F513" s="16"/>
      <c r="G513" s="16"/>
      <c r="H513" s="16"/>
      <c r="I513" s="15"/>
      <c r="J513" s="15"/>
      <c r="K5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3" s="17" t="str">
        <f>IF(Tasks[[#This Row],[Task]]="","",IFERROR(VLOOKUP(IF(Tasks[[#This Row],[Effort]]="","M",Tasks[[#This Row],[Effort]]),EffortTable,2,FALSE),0))</f>
        <v/>
      </c>
      <c r="N513" t="str">
        <f>IF(Tasks[[#This Row],[Task]]="","",IFERROR(MATCH(Tasks[[#This Row],[Status]],{"Late","Blocked","Due soon"},0),9)*100000+N(Tasks[[#This Row],[Due]]))</f>
        <v/>
      </c>
      <c r="O513" t="str" cm="1">
        <f t="array" aca="1" ref="O5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3" t="str" cm="1">
        <f t="array" ref="P5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3" t="str" cm="1">
        <f t="array" ref="Q5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3" t="str" cm="1">
        <f t="array" ref="R5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4" spans="1:18" x14ac:dyDescent="0.25">
      <c r="A514" s="14" t="str" cm="1">
        <f t="array" ref="A514">IF(Tasks[[#This Row],[Task]]="","","T-"&amp;TEXT(ROW()-ROW(Tasks[#Headers]),"000"))</f>
        <v/>
      </c>
      <c r="B514" s="15"/>
      <c r="C514" s="15"/>
      <c r="D514" s="15"/>
      <c r="E514" s="15"/>
      <c r="F514" s="16"/>
      <c r="G514" s="16"/>
      <c r="H514" s="16"/>
      <c r="I514" s="15"/>
      <c r="J514" s="15"/>
      <c r="K5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4" s="17" t="str">
        <f>IF(Tasks[[#This Row],[Task]]="","",IFERROR(VLOOKUP(IF(Tasks[[#This Row],[Effort]]="","M",Tasks[[#This Row],[Effort]]),EffortTable,2,FALSE),0))</f>
        <v/>
      </c>
      <c r="N514" t="str">
        <f>IF(Tasks[[#This Row],[Task]]="","",IFERROR(MATCH(Tasks[[#This Row],[Status]],{"Late","Blocked","Due soon"},0),9)*100000+N(Tasks[[#This Row],[Due]]))</f>
        <v/>
      </c>
      <c r="O514" t="str" cm="1">
        <f t="array" aca="1" ref="O5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4" t="str" cm="1">
        <f t="array" ref="P5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4" t="str" cm="1">
        <f t="array" ref="Q5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4" t="str" cm="1">
        <f t="array" ref="R5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5" spans="1:18" x14ac:dyDescent="0.25">
      <c r="A515" s="14" t="str" cm="1">
        <f t="array" ref="A515">IF(Tasks[[#This Row],[Task]]="","","T-"&amp;TEXT(ROW()-ROW(Tasks[#Headers]),"000"))</f>
        <v/>
      </c>
      <c r="B515" s="15"/>
      <c r="C515" s="15"/>
      <c r="D515" s="15"/>
      <c r="E515" s="15"/>
      <c r="F515" s="16"/>
      <c r="G515" s="16"/>
      <c r="H515" s="16"/>
      <c r="I515" s="15"/>
      <c r="J515" s="15"/>
      <c r="K5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5" s="17" t="str">
        <f>IF(Tasks[[#This Row],[Task]]="","",IFERROR(VLOOKUP(IF(Tasks[[#This Row],[Effort]]="","M",Tasks[[#This Row],[Effort]]),EffortTable,2,FALSE),0))</f>
        <v/>
      </c>
      <c r="N515" t="str">
        <f>IF(Tasks[[#This Row],[Task]]="","",IFERROR(MATCH(Tasks[[#This Row],[Status]],{"Late","Blocked","Due soon"},0),9)*100000+N(Tasks[[#This Row],[Due]]))</f>
        <v/>
      </c>
      <c r="O515" t="str" cm="1">
        <f t="array" aca="1" ref="O5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5" t="str" cm="1">
        <f t="array" ref="P5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5" t="str" cm="1">
        <f t="array" ref="Q5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5" t="str" cm="1">
        <f t="array" ref="R5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6" spans="1:18" x14ac:dyDescent="0.25">
      <c r="A516" s="14" t="str" cm="1">
        <f t="array" ref="A516">IF(Tasks[[#This Row],[Task]]="","","T-"&amp;TEXT(ROW()-ROW(Tasks[#Headers]),"000"))</f>
        <v/>
      </c>
      <c r="B516" s="15"/>
      <c r="C516" s="15"/>
      <c r="D516" s="15"/>
      <c r="E516" s="15"/>
      <c r="F516" s="16"/>
      <c r="G516" s="16"/>
      <c r="H516" s="16"/>
      <c r="I516" s="15"/>
      <c r="J516" s="15"/>
      <c r="K5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6" s="17" t="str">
        <f>IF(Tasks[[#This Row],[Task]]="","",IFERROR(VLOOKUP(IF(Tasks[[#This Row],[Effort]]="","M",Tasks[[#This Row],[Effort]]),EffortTable,2,FALSE),0))</f>
        <v/>
      </c>
      <c r="N516" t="str">
        <f>IF(Tasks[[#This Row],[Task]]="","",IFERROR(MATCH(Tasks[[#This Row],[Status]],{"Late","Blocked","Due soon"},0),9)*100000+N(Tasks[[#This Row],[Due]]))</f>
        <v/>
      </c>
      <c r="O516" t="str" cm="1">
        <f t="array" aca="1" ref="O5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6" t="str" cm="1">
        <f t="array" ref="P5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6" t="str" cm="1">
        <f t="array" ref="Q5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6" t="str" cm="1">
        <f t="array" ref="R5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7" spans="1:18" x14ac:dyDescent="0.25">
      <c r="A517" s="14" t="str" cm="1">
        <f t="array" ref="A517">IF(Tasks[[#This Row],[Task]]="","","T-"&amp;TEXT(ROW()-ROW(Tasks[#Headers]),"000"))</f>
        <v/>
      </c>
      <c r="B517" s="15"/>
      <c r="C517" s="15"/>
      <c r="D517" s="15"/>
      <c r="E517" s="15"/>
      <c r="F517" s="16"/>
      <c r="G517" s="16"/>
      <c r="H517" s="16"/>
      <c r="I517" s="15"/>
      <c r="J517" s="15"/>
      <c r="K5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7" s="17" t="str">
        <f>IF(Tasks[[#This Row],[Task]]="","",IFERROR(VLOOKUP(IF(Tasks[[#This Row],[Effort]]="","M",Tasks[[#This Row],[Effort]]),EffortTable,2,FALSE),0))</f>
        <v/>
      </c>
      <c r="N517" t="str">
        <f>IF(Tasks[[#This Row],[Task]]="","",IFERROR(MATCH(Tasks[[#This Row],[Status]],{"Late","Blocked","Due soon"},0),9)*100000+N(Tasks[[#This Row],[Due]]))</f>
        <v/>
      </c>
      <c r="O517" t="str" cm="1">
        <f t="array" aca="1" ref="O5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7" t="str" cm="1">
        <f t="array" ref="P5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7" t="str" cm="1">
        <f t="array" ref="Q5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7" t="str" cm="1">
        <f t="array" ref="R5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8" spans="1:18" x14ac:dyDescent="0.25">
      <c r="A518" s="14" t="str" cm="1">
        <f t="array" ref="A518">IF(Tasks[[#This Row],[Task]]="","","T-"&amp;TEXT(ROW()-ROW(Tasks[#Headers]),"000"))</f>
        <v/>
      </c>
      <c r="B518" s="15"/>
      <c r="C518" s="15"/>
      <c r="D518" s="15"/>
      <c r="E518" s="15"/>
      <c r="F518" s="16"/>
      <c r="G518" s="16"/>
      <c r="H518" s="16"/>
      <c r="I518" s="15"/>
      <c r="J518" s="15"/>
      <c r="K5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8" s="17" t="str">
        <f>IF(Tasks[[#This Row],[Task]]="","",IFERROR(VLOOKUP(IF(Tasks[[#This Row],[Effort]]="","M",Tasks[[#This Row],[Effort]]),EffortTable,2,FALSE),0))</f>
        <v/>
      </c>
      <c r="N518" t="str">
        <f>IF(Tasks[[#This Row],[Task]]="","",IFERROR(MATCH(Tasks[[#This Row],[Status]],{"Late","Blocked","Due soon"},0),9)*100000+N(Tasks[[#This Row],[Due]]))</f>
        <v/>
      </c>
      <c r="O518" t="str" cm="1">
        <f t="array" aca="1" ref="O5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8" t="str" cm="1">
        <f t="array" ref="P5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8" t="str" cm="1">
        <f t="array" ref="Q5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8" t="str" cm="1">
        <f t="array" ref="R5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19" spans="1:18" x14ac:dyDescent="0.25">
      <c r="A519" s="14" t="str" cm="1">
        <f t="array" ref="A519">IF(Tasks[[#This Row],[Task]]="","","T-"&amp;TEXT(ROW()-ROW(Tasks[#Headers]),"000"))</f>
        <v/>
      </c>
      <c r="B519" s="15"/>
      <c r="C519" s="15"/>
      <c r="D519" s="15"/>
      <c r="E519" s="15"/>
      <c r="F519" s="16"/>
      <c r="G519" s="16"/>
      <c r="H519" s="16"/>
      <c r="I519" s="15"/>
      <c r="J519" s="15"/>
      <c r="K5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19" s="17" t="str">
        <f>IF(Tasks[[#This Row],[Task]]="","",IFERROR(VLOOKUP(IF(Tasks[[#This Row],[Effort]]="","M",Tasks[[#This Row],[Effort]]),EffortTable,2,FALSE),0))</f>
        <v/>
      </c>
      <c r="N519" t="str">
        <f>IF(Tasks[[#This Row],[Task]]="","",IFERROR(MATCH(Tasks[[#This Row],[Status]],{"Late","Blocked","Due soon"},0),9)*100000+N(Tasks[[#This Row],[Due]]))</f>
        <v/>
      </c>
      <c r="O519" t="str" cm="1">
        <f t="array" aca="1" ref="O5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19" t="str" cm="1">
        <f t="array" ref="P5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19" t="str" cm="1">
        <f t="array" ref="Q5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19" t="str" cm="1">
        <f t="array" ref="R5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0" spans="1:18" x14ac:dyDescent="0.25">
      <c r="A520" s="14" t="str" cm="1">
        <f t="array" ref="A520">IF(Tasks[[#This Row],[Task]]="","","T-"&amp;TEXT(ROW()-ROW(Tasks[#Headers]),"000"))</f>
        <v/>
      </c>
      <c r="B520" s="15"/>
      <c r="C520" s="15"/>
      <c r="D520" s="15"/>
      <c r="E520" s="15"/>
      <c r="F520" s="16"/>
      <c r="G520" s="16"/>
      <c r="H520" s="16"/>
      <c r="I520" s="15"/>
      <c r="J520" s="15"/>
      <c r="K5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0" s="17" t="str">
        <f>IF(Tasks[[#This Row],[Task]]="","",IFERROR(VLOOKUP(IF(Tasks[[#This Row],[Effort]]="","M",Tasks[[#This Row],[Effort]]),EffortTable,2,FALSE),0))</f>
        <v/>
      </c>
      <c r="N520" t="str">
        <f>IF(Tasks[[#This Row],[Task]]="","",IFERROR(MATCH(Tasks[[#This Row],[Status]],{"Late","Blocked","Due soon"},0),9)*100000+N(Tasks[[#This Row],[Due]]))</f>
        <v/>
      </c>
      <c r="O520" t="str" cm="1">
        <f t="array" aca="1" ref="O5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0" t="str" cm="1">
        <f t="array" ref="P5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0" t="str" cm="1">
        <f t="array" ref="Q5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0" t="str" cm="1">
        <f t="array" ref="R5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1" spans="1:18" x14ac:dyDescent="0.25">
      <c r="A521" s="14" t="str" cm="1">
        <f t="array" ref="A521">IF(Tasks[[#This Row],[Task]]="","","T-"&amp;TEXT(ROW()-ROW(Tasks[#Headers]),"000"))</f>
        <v/>
      </c>
      <c r="B521" s="15"/>
      <c r="C521" s="15"/>
      <c r="D521" s="15"/>
      <c r="E521" s="15"/>
      <c r="F521" s="16"/>
      <c r="G521" s="16"/>
      <c r="H521" s="16"/>
      <c r="I521" s="15"/>
      <c r="J521" s="15"/>
      <c r="K5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1" s="17" t="str">
        <f>IF(Tasks[[#This Row],[Task]]="","",IFERROR(VLOOKUP(IF(Tasks[[#This Row],[Effort]]="","M",Tasks[[#This Row],[Effort]]),EffortTable,2,FALSE),0))</f>
        <v/>
      </c>
      <c r="N521" t="str">
        <f>IF(Tasks[[#This Row],[Task]]="","",IFERROR(MATCH(Tasks[[#This Row],[Status]],{"Late","Blocked","Due soon"},0),9)*100000+N(Tasks[[#This Row],[Due]]))</f>
        <v/>
      </c>
      <c r="O521" t="str" cm="1">
        <f t="array" aca="1" ref="O5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1" t="str" cm="1">
        <f t="array" ref="P5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1" t="str" cm="1">
        <f t="array" ref="Q5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1" t="str" cm="1">
        <f t="array" ref="R5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2" spans="1:18" x14ac:dyDescent="0.25">
      <c r="A522" s="14" t="str" cm="1">
        <f t="array" ref="A522">IF(Tasks[[#This Row],[Task]]="","","T-"&amp;TEXT(ROW()-ROW(Tasks[#Headers]),"000"))</f>
        <v/>
      </c>
      <c r="B522" s="15"/>
      <c r="C522" s="15"/>
      <c r="D522" s="15"/>
      <c r="E522" s="15"/>
      <c r="F522" s="16"/>
      <c r="G522" s="16"/>
      <c r="H522" s="16"/>
      <c r="I522" s="15"/>
      <c r="J522" s="15"/>
      <c r="K5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2" s="17" t="str">
        <f>IF(Tasks[[#This Row],[Task]]="","",IFERROR(VLOOKUP(IF(Tasks[[#This Row],[Effort]]="","M",Tasks[[#This Row],[Effort]]),EffortTable,2,FALSE),0))</f>
        <v/>
      </c>
      <c r="N522" t="str">
        <f>IF(Tasks[[#This Row],[Task]]="","",IFERROR(MATCH(Tasks[[#This Row],[Status]],{"Late","Blocked","Due soon"},0),9)*100000+N(Tasks[[#This Row],[Due]]))</f>
        <v/>
      </c>
      <c r="O522" t="str" cm="1">
        <f t="array" aca="1" ref="O5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2" t="str" cm="1">
        <f t="array" ref="P5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2" t="str" cm="1">
        <f t="array" ref="Q5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2" t="str" cm="1">
        <f t="array" ref="R5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3" spans="1:18" x14ac:dyDescent="0.25">
      <c r="A523" s="14" t="str" cm="1">
        <f t="array" ref="A523">IF(Tasks[[#This Row],[Task]]="","","T-"&amp;TEXT(ROW()-ROW(Tasks[#Headers]),"000"))</f>
        <v/>
      </c>
      <c r="B523" s="15"/>
      <c r="C523" s="15"/>
      <c r="D523" s="15"/>
      <c r="E523" s="15"/>
      <c r="F523" s="16"/>
      <c r="G523" s="16"/>
      <c r="H523" s="16"/>
      <c r="I523" s="15"/>
      <c r="J523" s="15"/>
      <c r="K5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3" s="17" t="str">
        <f>IF(Tasks[[#This Row],[Task]]="","",IFERROR(VLOOKUP(IF(Tasks[[#This Row],[Effort]]="","M",Tasks[[#This Row],[Effort]]),EffortTable,2,FALSE),0))</f>
        <v/>
      </c>
      <c r="N523" t="str">
        <f>IF(Tasks[[#This Row],[Task]]="","",IFERROR(MATCH(Tasks[[#This Row],[Status]],{"Late","Blocked","Due soon"},0),9)*100000+N(Tasks[[#This Row],[Due]]))</f>
        <v/>
      </c>
      <c r="O523" t="str" cm="1">
        <f t="array" aca="1" ref="O5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3" t="str" cm="1">
        <f t="array" ref="P5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3" t="str" cm="1">
        <f t="array" ref="Q5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3" t="str" cm="1">
        <f t="array" ref="R5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4" spans="1:18" x14ac:dyDescent="0.25">
      <c r="A524" s="14" t="str" cm="1">
        <f t="array" ref="A524">IF(Tasks[[#This Row],[Task]]="","","T-"&amp;TEXT(ROW()-ROW(Tasks[#Headers]),"000"))</f>
        <v/>
      </c>
      <c r="B524" s="15"/>
      <c r="C524" s="15"/>
      <c r="D524" s="15"/>
      <c r="E524" s="15"/>
      <c r="F524" s="16"/>
      <c r="G524" s="16"/>
      <c r="H524" s="16"/>
      <c r="I524" s="15"/>
      <c r="J524" s="15"/>
      <c r="K5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4" s="17" t="str">
        <f>IF(Tasks[[#This Row],[Task]]="","",IFERROR(VLOOKUP(IF(Tasks[[#This Row],[Effort]]="","M",Tasks[[#This Row],[Effort]]),EffortTable,2,FALSE),0))</f>
        <v/>
      </c>
      <c r="N524" t="str">
        <f>IF(Tasks[[#This Row],[Task]]="","",IFERROR(MATCH(Tasks[[#This Row],[Status]],{"Late","Blocked","Due soon"},0),9)*100000+N(Tasks[[#This Row],[Due]]))</f>
        <v/>
      </c>
      <c r="O524" t="str" cm="1">
        <f t="array" aca="1" ref="O5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4" t="str" cm="1">
        <f t="array" ref="P5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4" t="str" cm="1">
        <f t="array" ref="Q5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4" t="str" cm="1">
        <f t="array" ref="R5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5" spans="1:18" x14ac:dyDescent="0.25">
      <c r="A525" s="14" t="str" cm="1">
        <f t="array" ref="A525">IF(Tasks[[#This Row],[Task]]="","","T-"&amp;TEXT(ROW()-ROW(Tasks[#Headers]),"000"))</f>
        <v/>
      </c>
      <c r="B525" s="15"/>
      <c r="C525" s="15"/>
      <c r="D525" s="15"/>
      <c r="E525" s="15"/>
      <c r="F525" s="16"/>
      <c r="G525" s="16"/>
      <c r="H525" s="16"/>
      <c r="I525" s="15"/>
      <c r="J525" s="15"/>
      <c r="K5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5" s="17" t="str">
        <f>IF(Tasks[[#This Row],[Task]]="","",IFERROR(VLOOKUP(IF(Tasks[[#This Row],[Effort]]="","M",Tasks[[#This Row],[Effort]]),EffortTable,2,FALSE),0))</f>
        <v/>
      </c>
      <c r="N525" t="str">
        <f>IF(Tasks[[#This Row],[Task]]="","",IFERROR(MATCH(Tasks[[#This Row],[Status]],{"Late","Blocked","Due soon"},0),9)*100000+N(Tasks[[#This Row],[Due]]))</f>
        <v/>
      </c>
      <c r="O525" t="str" cm="1">
        <f t="array" aca="1" ref="O5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5" t="str" cm="1">
        <f t="array" ref="P5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5" t="str" cm="1">
        <f t="array" ref="Q5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5" t="str" cm="1">
        <f t="array" ref="R5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6" spans="1:18" x14ac:dyDescent="0.25">
      <c r="A526" s="14" t="str" cm="1">
        <f t="array" ref="A526">IF(Tasks[[#This Row],[Task]]="","","T-"&amp;TEXT(ROW()-ROW(Tasks[#Headers]),"000"))</f>
        <v/>
      </c>
      <c r="B526" s="15"/>
      <c r="C526" s="15"/>
      <c r="D526" s="15"/>
      <c r="E526" s="15"/>
      <c r="F526" s="16"/>
      <c r="G526" s="16"/>
      <c r="H526" s="16"/>
      <c r="I526" s="15"/>
      <c r="J526" s="15"/>
      <c r="K5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6" s="17" t="str">
        <f>IF(Tasks[[#This Row],[Task]]="","",IFERROR(VLOOKUP(IF(Tasks[[#This Row],[Effort]]="","M",Tasks[[#This Row],[Effort]]),EffortTable,2,FALSE),0))</f>
        <v/>
      </c>
      <c r="N526" t="str">
        <f>IF(Tasks[[#This Row],[Task]]="","",IFERROR(MATCH(Tasks[[#This Row],[Status]],{"Late","Blocked","Due soon"},0),9)*100000+N(Tasks[[#This Row],[Due]]))</f>
        <v/>
      </c>
      <c r="O526" t="str" cm="1">
        <f t="array" aca="1" ref="O5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6" t="str" cm="1">
        <f t="array" ref="P5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6" t="str" cm="1">
        <f t="array" ref="Q5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6" t="str" cm="1">
        <f t="array" ref="R5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7" spans="1:18" x14ac:dyDescent="0.25">
      <c r="A527" s="14" t="str" cm="1">
        <f t="array" ref="A527">IF(Tasks[[#This Row],[Task]]="","","T-"&amp;TEXT(ROW()-ROW(Tasks[#Headers]),"000"))</f>
        <v/>
      </c>
      <c r="B527" s="15"/>
      <c r="C527" s="15"/>
      <c r="D527" s="15"/>
      <c r="E527" s="15"/>
      <c r="F527" s="16"/>
      <c r="G527" s="16"/>
      <c r="H527" s="16"/>
      <c r="I527" s="15"/>
      <c r="J527" s="15"/>
      <c r="K5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7" s="17" t="str">
        <f>IF(Tasks[[#This Row],[Task]]="","",IFERROR(VLOOKUP(IF(Tasks[[#This Row],[Effort]]="","M",Tasks[[#This Row],[Effort]]),EffortTable,2,FALSE),0))</f>
        <v/>
      </c>
      <c r="N527" t="str">
        <f>IF(Tasks[[#This Row],[Task]]="","",IFERROR(MATCH(Tasks[[#This Row],[Status]],{"Late","Blocked","Due soon"},0),9)*100000+N(Tasks[[#This Row],[Due]]))</f>
        <v/>
      </c>
      <c r="O527" t="str" cm="1">
        <f t="array" aca="1" ref="O5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7" t="str" cm="1">
        <f t="array" ref="P5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7" t="str" cm="1">
        <f t="array" ref="Q5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7" t="str" cm="1">
        <f t="array" ref="R5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8" spans="1:18" x14ac:dyDescent="0.25">
      <c r="A528" s="14" t="str" cm="1">
        <f t="array" ref="A528">IF(Tasks[[#This Row],[Task]]="","","T-"&amp;TEXT(ROW()-ROW(Tasks[#Headers]),"000"))</f>
        <v/>
      </c>
      <c r="B528" s="15"/>
      <c r="C528" s="15"/>
      <c r="D528" s="15"/>
      <c r="E528" s="15"/>
      <c r="F528" s="16"/>
      <c r="G528" s="16"/>
      <c r="H528" s="16"/>
      <c r="I528" s="15"/>
      <c r="J528" s="15"/>
      <c r="K5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8" s="17" t="str">
        <f>IF(Tasks[[#This Row],[Task]]="","",IFERROR(VLOOKUP(IF(Tasks[[#This Row],[Effort]]="","M",Tasks[[#This Row],[Effort]]),EffortTable,2,FALSE),0))</f>
        <v/>
      </c>
      <c r="N528" t="str">
        <f>IF(Tasks[[#This Row],[Task]]="","",IFERROR(MATCH(Tasks[[#This Row],[Status]],{"Late","Blocked","Due soon"},0),9)*100000+N(Tasks[[#This Row],[Due]]))</f>
        <v/>
      </c>
      <c r="O528" t="str" cm="1">
        <f t="array" aca="1" ref="O5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8" t="str" cm="1">
        <f t="array" ref="P5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8" t="str" cm="1">
        <f t="array" ref="Q5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8" t="str" cm="1">
        <f t="array" ref="R5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29" spans="1:18" x14ac:dyDescent="0.25">
      <c r="A529" s="14" t="str" cm="1">
        <f t="array" ref="A529">IF(Tasks[[#This Row],[Task]]="","","T-"&amp;TEXT(ROW()-ROW(Tasks[#Headers]),"000"))</f>
        <v/>
      </c>
      <c r="B529" s="15"/>
      <c r="C529" s="15"/>
      <c r="D529" s="15"/>
      <c r="E529" s="15"/>
      <c r="F529" s="16"/>
      <c r="G529" s="16"/>
      <c r="H529" s="16"/>
      <c r="I529" s="15"/>
      <c r="J529" s="15"/>
      <c r="K5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29" s="17" t="str">
        <f>IF(Tasks[[#This Row],[Task]]="","",IFERROR(VLOOKUP(IF(Tasks[[#This Row],[Effort]]="","M",Tasks[[#This Row],[Effort]]),EffortTable,2,FALSE),0))</f>
        <v/>
      </c>
      <c r="N529" t="str">
        <f>IF(Tasks[[#This Row],[Task]]="","",IFERROR(MATCH(Tasks[[#This Row],[Status]],{"Late","Blocked","Due soon"},0),9)*100000+N(Tasks[[#This Row],[Due]]))</f>
        <v/>
      </c>
      <c r="O529" t="str" cm="1">
        <f t="array" aca="1" ref="O5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29" t="str" cm="1">
        <f t="array" ref="P5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29" t="str" cm="1">
        <f t="array" ref="Q5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29" t="str" cm="1">
        <f t="array" ref="R5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0" spans="1:18" x14ac:dyDescent="0.25">
      <c r="A530" s="14" t="str" cm="1">
        <f t="array" ref="A530">IF(Tasks[[#This Row],[Task]]="","","T-"&amp;TEXT(ROW()-ROW(Tasks[#Headers]),"000"))</f>
        <v/>
      </c>
      <c r="B530" s="15"/>
      <c r="C530" s="15"/>
      <c r="D530" s="15"/>
      <c r="E530" s="15"/>
      <c r="F530" s="16"/>
      <c r="G530" s="16"/>
      <c r="H530" s="16"/>
      <c r="I530" s="15"/>
      <c r="J530" s="15"/>
      <c r="K5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0" s="17" t="str">
        <f>IF(Tasks[[#This Row],[Task]]="","",IFERROR(VLOOKUP(IF(Tasks[[#This Row],[Effort]]="","M",Tasks[[#This Row],[Effort]]),EffortTable,2,FALSE),0))</f>
        <v/>
      </c>
      <c r="N530" t="str">
        <f>IF(Tasks[[#This Row],[Task]]="","",IFERROR(MATCH(Tasks[[#This Row],[Status]],{"Late","Blocked","Due soon"},0),9)*100000+N(Tasks[[#This Row],[Due]]))</f>
        <v/>
      </c>
      <c r="O530" t="str" cm="1">
        <f t="array" aca="1" ref="O5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0" t="str" cm="1">
        <f t="array" ref="P5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0" t="str" cm="1">
        <f t="array" ref="Q5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0" t="str" cm="1">
        <f t="array" ref="R5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1" spans="1:18" x14ac:dyDescent="0.25">
      <c r="A531" s="14" t="str" cm="1">
        <f t="array" ref="A531">IF(Tasks[[#This Row],[Task]]="","","T-"&amp;TEXT(ROW()-ROW(Tasks[#Headers]),"000"))</f>
        <v/>
      </c>
      <c r="B531" s="15"/>
      <c r="C531" s="15"/>
      <c r="D531" s="15"/>
      <c r="E531" s="15"/>
      <c r="F531" s="16"/>
      <c r="G531" s="16"/>
      <c r="H531" s="16"/>
      <c r="I531" s="15"/>
      <c r="J531" s="15"/>
      <c r="K5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1" s="17" t="str">
        <f>IF(Tasks[[#This Row],[Task]]="","",IFERROR(VLOOKUP(IF(Tasks[[#This Row],[Effort]]="","M",Tasks[[#This Row],[Effort]]),EffortTable,2,FALSE),0))</f>
        <v/>
      </c>
      <c r="N531" t="str">
        <f>IF(Tasks[[#This Row],[Task]]="","",IFERROR(MATCH(Tasks[[#This Row],[Status]],{"Late","Blocked","Due soon"},0),9)*100000+N(Tasks[[#This Row],[Due]]))</f>
        <v/>
      </c>
      <c r="O531" t="str" cm="1">
        <f t="array" aca="1" ref="O5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1" t="str" cm="1">
        <f t="array" ref="P5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1" t="str" cm="1">
        <f t="array" ref="Q5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1" t="str" cm="1">
        <f t="array" ref="R5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2" spans="1:18" x14ac:dyDescent="0.25">
      <c r="A532" s="14" t="str" cm="1">
        <f t="array" ref="A532">IF(Tasks[[#This Row],[Task]]="","","T-"&amp;TEXT(ROW()-ROW(Tasks[#Headers]),"000"))</f>
        <v/>
      </c>
      <c r="B532" s="15"/>
      <c r="C532" s="15"/>
      <c r="D532" s="15"/>
      <c r="E532" s="15"/>
      <c r="F532" s="16"/>
      <c r="G532" s="16"/>
      <c r="H532" s="16"/>
      <c r="I532" s="15"/>
      <c r="J532" s="15"/>
      <c r="K5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2" s="17" t="str">
        <f>IF(Tasks[[#This Row],[Task]]="","",IFERROR(VLOOKUP(IF(Tasks[[#This Row],[Effort]]="","M",Tasks[[#This Row],[Effort]]),EffortTable,2,FALSE),0))</f>
        <v/>
      </c>
      <c r="N532" t="str">
        <f>IF(Tasks[[#This Row],[Task]]="","",IFERROR(MATCH(Tasks[[#This Row],[Status]],{"Late","Blocked","Due soon"},0),9)*100000+N(Tasks[[#This Row],[Due]]))</f>
        <v/>
      </c>
      <c r="O532" t="str" cm="1">
        <f t="array" aca="1" ref="O5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2" t="str" cm="1">
        <f t="array" ref="P5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2" t="str" cm="1">
        <f t="array" ref="Q5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2" t="str" cm="1">
        <f t="array" ref="R5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3" spans="1:18" x14ac:dyDescent="0.25">
      <c r="A533" s="14" t="str" cm="1">
        <f t="array" ref="A533">IF(Tasks[[#This Row],[Task]]="","","T-"&amp;TEXT(ROW()-ROW(Tasks[#Headers]),"000"))</f>
        <v/>
      </c>
      <c r="B533" s="15"/>
      <c r="C533" s="15"/>
      <c r="D533" s="15"/>
      <c r="E533" s="15"/>
      <c r="F533" s="16"/>
      <c r="G533" s="16"/>
      <c r="H533" s="16"/>
      <c r="I533" s="15"/>
      <c r="J533" s="15"/>
      <c r="K5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3" s="17" t="str">
        <f>IF(Tasks[[#This Row],[Task]]="","",IFERROR(VLOOKUP(IF(Tasks[[#This Row],[Effort]]="","M",Tasks[[#This Row],[Effort]]),EffortTable,2,FALSE),0))</f>
        <v/>
      </c>
      <c r="N533" t="str">
        <f>IF(Tasks[[#This Row],[Task]]="","",IFERROR(MATCH(Tasks[[#This Row],[Status]],{"Late","Blocked","Due soon"},0),9)*100000+N(Tasks[[#This Row],[Due]]))</f>
        <v/>
      </c>
      <c r="O533" t="str" cm="1">
        <f t="array" aca="1" ref="O5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3" t="str" cm="1">
        <f t="array" ref="P5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3" t="str" cm="1">
        <f t="array" ref="Q5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3" t="str" cm="1">
        <f t="array" ref="R5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4" spans="1:18" x14ac:dyDescent="0.25">
      <c r="A534" s="14" t="str" cm="1">
        <f t="array" ref="A534">IF(Tasks[[#This Row],[Task]]="","","T-"&amp;TEXT(ROW()-ROW(Tasks[#Headers]),"000"))</f>
        <v/>
      </c>
      <c r="B534" s="15"/>
      <c r="C534" s="15"/>
      <c r="D534" s="15"/>
      <c r="E534" s="15"/>
      <c r="F534" s="16"/>
      <c r="G534" s="16"/>
      <c r="H534" s="16"/>
      <c r="I534" s="15"/>
      <c r="J534" s="15"/>
      <c r="K5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4" s="17" t="str">
        <f>IF(Tasks[[#This Row],[Task]]="","",IFERROR(VLOOKUP(IF(Tasks[[#This Row],[Effort]]="","M",Tasks[[#This Row],[Effort]]),EffortTable,2,FALSE),0))</f>
        <v/>
      </c>
      <c r="N534" t="str">
        <f>IF(Tasks[[#This Row],[Task]]="","",IFERROR(MATCH(Tasks[[#This Row],[Status]],{"Late","Blocked","Due soon"},0),9)*100000+N(Tasks[[#This Row],[Due]]))</f>
        <v/>
      </c>
      <c r="O534" t="str" cm="1">
        <f t="array" aca="1" ref="O5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4" t="str" cm="1">
        <f t="array" ref="P5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4" t="str" cm="1">
        <f t="array" ref="Q5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4" t="str" cm="1">
        <f t="array" ref="R5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5" spans="1:18" x14ac:dyDescent="0.25">
      <c r="A535" s="14" t="str" cm="1">
        <f t="array" ref="A535">IF(Tasks[[#This Row],[Task]]="","","T-"&amp;TEXT(ROW()-ROW(Tasks[#Headers]),"000"))</f>
        <v/>
      </c>
      <c r="B535" s="15"/>
      <c r="C535" s="15"/>
      <c r="D535" s="15"/>
      <c r="E535" s="15"/>
      <c r="F535" s="16"/>
      <c r="G535" s="16"/>
      <c r="H535" s="16"/>
      <c r="I535" s="15"/>
      <c r="J535" s="15"/>
      <c r="K5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5" s="17" t="str">
        <f>IF(Tasks[[#This Row],[Task]]="","",IFERROR(VLOOKUP(IF(Tasks[[#This Row],[Effort]]="","M",Tasks[[#This Row],[Effort]]),EffortTable,2,FALSE),0))</f>
        <v/>
      </c>
      <c r="N535" t="str">
        <f>IF(Tasks[[#This Row],[Task]]="","",IFERROR(MATCH(Tasks[[#This Row],[Status]],{"Late","Blocked","Due soon"},0),9)*100000+N(Tasks[[#This Row],[Due]]))</f>
        <v/>
      </c>
      <c r="O535" t="str" cm="1">
        <f t="array" aca="1" ref="O5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5" t="str" cm="1">
        <f t="array" ref="P5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5" t="str" cm="1">
        <f t="array" ref="Q5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5" t="str" cm="1">
        <f t="array" ref="R5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6" spans="1:18" x14ac:dyDescent="0.25">
      <c r="A536" s="14" t="str" cm="1">
        <f t="array" ref="A536">IF(Tasks[[#This Row],[Task]]="","","T-"&amp;TEXT(ROW()-ROW(Tasks[#Headers]),"000"))</f>
        <v/>
      </c>
      <c r="B536" s="15"/>
      <c r="C536" s="15"/>
      <c r="D536" s="15"/>
      <c r="E536" s="15"/>
      <c r="F536" s="16"/>
      <c r="G536" s="16"/>
      <c r="H536" s="16"/>
      <c r="I536" s="15"/>
      <c r="J536" s="15"/>
      <c r="K5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6" s="17" t="str">
        <f>IF(Tasks[[#This Row],[Task]]="","",IFERROR(VLOOKUP(IF(Tasks[[#This Row],[Effort]]="","M",Tasks[[#This Row],[Effort]]),EffortTable,2,FALSE),0))</f>
        <v/>
      </c>
      <c r="N536" t="str">
        <f>IF(Tasks[[#This Row],[Task]]="","",IFERROR(MATCH(Tasks[[#This Row],[Status]],{"Late","Blocked","Due soon"},0),9)*100000+N(Tasks[[#This Row],[Due]]))</f>
        <v/>
      </c>
      <c r="O536" t="str" cm="1">
        <f t="array" aca="1" ref="O5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6" t="str" cm="1">
        <f t="array" ref="P5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6" t="str" cm="1">
        <f t="array" ref="Q5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6" t="str" cm="1">
        <f t="array" ref="R5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7" spans="1:18" x14ac:dyDescent="0.25">
      <c r="A537" s="14" t="str" cm="1">
        <f t="array" ref="A537">IF(Tasks[[#This Row],[Task]]="","","T-"&amp;TEXT(ROW()-ROW(Tasks[#Headers]),"000"))</f>
        <v/>
      </c>
      <c r="B537" s="15"/>
      <c r="C537" s="15"/>
      <c r="D537" s="15"/>
      <c r="E537" s="15"/>
      <c r="F537" s="16"/>
      <c r="G537" s="16"/>
      <c r="H537" s="16"/>
      <c r="I537" s="15"/>
      <c r="J537" s="15"/>
      <c r="K5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7" s="17" t="str">
        <f>IF(Tasks[[#This Row],[Task]]="","",IFERROR(VLOOKUP(IF(Tasks[[#This Row],[Effort]]="","M",Tasks[[#This Row],[Effort]]),EffortTable,2,FALSE),0))</f>
        <v/>
      </c>
      <c r="N537" t="str">
        <f>IF(Tasks[[#This Row],[Task]]="","",IFERROR(MATCH(Tasks[[#This Row],[Status]],{"Late","Blocked","Due soon"},0),9)*100000+N(Tasks[[#This Row],[Due]]))</f>
        <v/>
      </c>
      <c r="O537" t="str" cm="1">
        <f t="array" aca="1" ref="O5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7" t="str" cm="1">
        <f t="array" ref="P5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7" t="str" cm="1">
        <f t="array" ref="Q5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7" t="str" cm="1">
        <f t="array" ref="R5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8" spans="1:18" x14ac:dyDescent="0.25">
      <c r="A538" s="14" t="str" cm="1">
        <f t="array" ref="A538">IF(Tasks[[#This Row],[Task]]="","","T-"&amp;TEXT(ROW()-ROW(Tasks[#Headers]),"000"))</f>
        <v/>
      </c>
      <c r="B538" s="15"/>
      <c r="C538" s="15"/>
      <c r="D538" s="15"/>
      <c r="E538" s="15"/>
      <c r="F538" s="16"/>
      <c r="G538" s="16"/>
      <c r="H538" s="16"/>
      <c r="I538" s="15"/>
      <c r="J538" s="15"/>
      <c r="K5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8" s="17" t="str">
        <f>IF(Tasks[[#This Row],[Task]]="","",IFERROR(VLOOKUP(IF(Tasks[[#This Row],[Effort]]="","M",Tasks[[#This Row],[Effort]]),EffortTable,2,FALSE),0))</f>
        <v/>
      </c>
      <c r="N538" t="str">
        <f>IF(Tasks[[#This Row],[Task]]="","",IFERROR(MATCH(Tasks[[#This Row],[Status]],{"Late","Blocked","Due soon"},0),9)*100000+N(Tasks[[#This Row],[Due]]))</f>
        <v/>
      </c>
      <c r="O538" t="str" cm="1">
        <f t="array" aca="1" ref="O5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8" t="str" cm="1">
        <f t="array" ref="P5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8" t="str" cm="1">
        <f t="array" ref="Q5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8" t="str" cm="1">
        <f t="array" ref="R5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39" spans="1:18" x14ac:dyDescent="0.25">
      <c r="A539" s="14" t="str" cm="1">
        <f t="array" ref="A539">IF(Tasks[[#This Row],[Task]]="","","T-"&amp;TEXT(ROW()-ROW(Tasks[#Headers]),"000"))</f>
        <v/>
      </c>
      <c r="B539" s="15"/>
      <c r="C539" s="15"/>
      <c r="D539" s="15"/>
      <c r="E539" s="15"/>
      <c r="F539" s="16"/>
      <c r="G539" s="16"/>
      <c r="H539" s="16"/>
      <c r="I539" s="15"/>
      <c r="J539" s="15"/>
      <c r="K5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39" s="17" t="str">
        <f>IF(Tasks[[#This Row],[Task]]="","",IFERROR(VLOOKUP(IF(Tasks[[#This Row],[Effort]]="","M",Tasks[[#This Row],[Effort]]),EffortTable,2,FALSE),0))</f>
        <v/>
      </c>
      <c r="N539" t="str">
        <f>IF(Tasks[[#This Row],[Task]]="","",IFERROR(MATCH(Tasks[[#This Row],[Status]],{"Late","Blocked","Due soon"},0),9)*100000+N(Tasks[[#This Row],[Due]]))</f>
        <v/>
      </c>
      <c r="O539" t="str" cm="1">
        <f t="array" aca="1" ref="O5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39" t="str" cm="1">
        <f t="array" ref="P5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39" t="str" cm="1">
        <f t="array" ref="Q5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39" t="str" cm="1">
        <f t="array" ref="R5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0" spans="1:18" x14ac:dyDescent="0.25">
      <c r="A540" s="14" t="str" cm="1">
        <f t="array" ref="A540">IF(Tasks[[#This Row],[Task]]="","","T-"&amp;TEXT(ROW()-ROW(Tasks[#Headers]),"000"))</f>
        <v/>
      </c>
      <c r="B540" s="15"/>
      <c r="C540" s="15"/>
      <c r="D540" s="15"/>
      <c r="E540" s="15"/>
      <c r="F540" s="16"/>
      <c r="G540" s="16"/>
      <c r="H540" s="16"/>
      <c r="I540" s="15"/>
      <c r="J540" s="15"/>
      <c r="K5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0" s="17" t="str">
        <f>IF(Tasks[[#This Row],[Task]]="","",IFERROR(VLOOKUP(IF(Tasks[[#This Row],[Effort]]="","M",Tasks[[#This Row],[Effort]]),EffortTable,2,FALSE),0))</f>
        <v/>
      </c>
      <c r="N540" t="str">
        <f>IF(Tasks[[#This Row],[Task]]="","",IFERROR(MATCH(Tasks[[#This Row],[Status]],{"Late","Blocked","Due soon"},0),9)*100000+N(Tasks[[#This Row],[Due]]))</f>
        <v/>
      </c>
      <c r="O540" t="str" cm="1">
        <f t="array" aca="1" ref="O5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0" t="str" cm="1">
        <f t="array" ref="P5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0" t="str" cm="1">
        <f t="array" ref="Q5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0" t="str" cm="1">
        <f t="array" ref="R5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1" spans="1:18" x14ac:dyDescent="0.25">
      <c r="A541" s="14" t="str" cm="1">
        <f t="array" ref="A541">IF(Tasks[[#This Row],[Task]]="","","T-"&amp;TEXT(ROW()-ROW(Tasks[#Headers]),"000"))</f>
        <v/>
      </c>
      <c r="B541" s="15"/>
      <c r="C541" s="15"/>
      <c r="D541" s="15"/>
      <c r="E541" s="15"/>
      <c r="F541" s="16"/>
      <c r="G541" s="16"/>
      <c r="H541" s="16"/>
      <c r="I541" s="15"/>
      <c r="J541" s="15"/>
      <c r="K5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1" s="17" t="str">
        <f>IF(Tasks[[#This Row],[Task]]="","",IFERROR(VLOOKUP(IF(Tasks[[#This Row],[Effort]]="","M",Tasks[[#This Row],[Effort]]),EffortTable,2,FALSE),0))</f>
        <v/>
      </c>
      <c r="N541" t="str">
        <f>IF(Tasks[[#This Row],[Task]]="","",IFERROR(MATCH(Tasks[[#This Row],[Status]],{"Late","Blocked","Due soon"},0),9)*100000+N(Tasks[[#This Row],[Due]]))</f>
        <v/>
      </c>
      <c r="O541" t="str" cm="1">
        <f t="array" aca="1" ref="O5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1" t="str" cm="1">
        <f t="array" ref="P5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1" t="str" cm="1">
        <f t="array" ref="Q5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1" t="str" cm="1">
        <f t="array" ref="R5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2" spans="1:18" x14ac:dyDescent="0.25">
      <c r="A542" s="14" t="str" cm="1">
        <f t="array" ref="A542">IF(Tasks[[#This Row],[Task]]="","","T-"&amp;TEXT(ROW()-ROW(Tasks[#Headers]),"000"))</f>
        <v/>
      </c>
      <c r="B542" s="15"/>
      <c r="C542" s="15"/>
      <c r="D542" s="15"/>
      <c r="E542" s="15"/>
      <c r="F542" s="16"/>
      <c r="G542" s="16"/>
      <c r="H542" s="16"/>
      <c r="I542" s="15"/>
      <c r="J542" s="15"/>
      <c r="K5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2" s="17" t="str">
        <f>IF(Tasks[[#This Row],[Task]]="","",IFERROR(VLOOKUP(IF(Tasks[[#This Row],[Effort]]="","M",Tasks[[#This Row],[Effort]]),EffortTable,2,FALSE),0))</f>
        <v/>
      </c>
      <c r="N542" t="str">
        <f>IF(Tasks[[#This Row],[Task]]="","",IFERROR(MATCH(Tasks[[#This Row],[Status]],{"Late","Blocked","Due soon"},0),9)*100000+N(Tasks[[#This Row],[Due]]))</f>
        <v/>
      </c>
      <c r="O542" t="str" cm="1">
        <f t="array" aca="1" ref="O5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2" t="str" cm="1">
        <f t="array" ref="P5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2" t="str" cm="1">
        <f t="array" ref="Q5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2" t="str" cm="1">
        <f t="array" ref="R5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3" spans="1:18" x14ac:dyDescent="0.25">
      <c r="A543" s="14" t="str" cm="1">
        <f t="array" ref="A543">IF(Tasks[[#This Row],[Task]]="","","T-"&amp;TEXT(ROW()-ROW(Tasks[#Headers]),"000"))</f>
        <v/>
      </c>
      <c r="B543" s="15"/>
      <c r="C543" s="15"/>
      <c r="D543" s="15"/>
      <c r="E543" s="15"/>
      <c r="F543" s="16"/>
      <c r="G543" s="16"/>
      <c r="H543" s="16"/>
      <c r="I543" s="15"/>
      <c r="J543" s="15"/>
      <c r="K5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3" s="17" t="str">
        <f>IF(Tasks[[#This Row],[Task]]="","",IFERROR(VLOOKUP(IF(Tasks[[#This Row],[Effort]]="","M",Tasks[[#This Row],[Effort]]),EffortTable,2,FALSE),0))</f>
        <v/>
      </c>
      <c r="N543" t="str">
        <f>IF(Tasks[[#This Row],[Task]]="","",IFERROR(MATCH(Tasks[[#This Row],[Status]],{"Late","Blocked","Due soon"},0),9)*100000+N(Tasks[[#This Row],[Due]]))</f>
        <v/>
      </c>
      <c r="O543" t="str" cm="1">
        <f t="array" aca="1" ref="O5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3" t="str" cm="1">
        <f t="array" ref="P5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3" t="str" cm="1">
        <f t="array" ref="Q5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3" t="str" cm="1">
        <f t="array" ref="R5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4" spans="1:18" x14ac:dyDescent="0.25">
      <c r="A544" s="14" t="str" cm="1">
        <f t="array" ref="A544">IF(Tasks[[#This Row],[Task]]="","","T-"&amp;TEXT(ROW()-ROW(Tasks[#Headers]),"000"))</f>
        <v/>
      </c>
      <c r="B544" s="15"/>
      <c r="C544" s="15"/>
      <c r="D544" s="15"/>
      <c r="E544" s="15"/>
      <c r="F544" s="16"/>
      <c r="G544" s="16"/>
      <c r="H544" s="16"/>
      <c r="I544" s="15"/>
      <c r="J544" s="15"/>
      <c r="K5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4" s="17" t="str">
        <f>IF(Tasks[[#This Row],[Task]]="","",IFERROR(VLOOKUP(IF(Tasks[[#This Row],[Effort]]="","M",Tasks[[#This Row],[Effort]]),EffortTable,2,FALSE),0))</f>
        <v/>
      </c>
      <c r="N544" t="str">
        <f>IF(Tasks[[#This Row],[Task]]="","",IFERROR(MATCH(Tasks[[#This Row],[Status]],{"Late","Blocked","Due soon"},0),9)*100000+N(Tasks[[#This Row],[Due]]))</f>
        <v/>
      </c>
      <c r="O544" t="str" cm="1">
        <f t="array" aca="1" ref="O5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4" t="str" cm="1">
        <f t="array" ref="P5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4" t="str" cm="1">
        <f t="array" ref="Q5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4" t="str" cm="1">
        <f t="array" ref="R5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5" spans="1:18" x14ac:dyDescent="0.25">
      <c r="A545" s="14" t="str" cm="1">
        <f t="array" ref="A545">IF(Tasks[[#This Row],[Task]]="","","T-"&amp;TEXT(ROW()-ROW(Tasks[#Headers]),"000"))</f>
        <v/>
      </c>
      <c r="B545" s="15"/>
      <c r="C545" s="15"/>
      <c r="D545" s="15"/>
      <c r="E545" s="15"/>
      <c r="F545" s="16"/>
      <c r="G545" s="16"/>
      <c r="H545" s="16"/>
      <c r="I545" s="15"/>
      <c r="J545" s="15"/>
      <c r="K5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5" s="17" t="str">
        <f>IF(Tasks[[#This Row],[Task]]="","",IFERROR(VLOOKUP(IF(Tasks[[#This Row],[Effort]]="","M",Tasks[[#This Row],[Effort]]),EffortTable,2,FALSE),0))</f>
        <v/>
      </c>
      <c r="N545" t="str">
        <f>IF(Tasks[[#This Row],[Task]]="","",IFERROR(MATCH(Tasks[[#This Row],[Status]],{"Late","Blocked","Due soon"},0),9)*100000+N(Tasks[[#This Row],[Due]]))</f>
        <v/>
      </c>
      <c r="O545" t="str" cm="1">
        <f t="array" aca="1" ref="O5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5" t="str" cm="1">
        <f t="array" ref="P5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5" t="str" cm="1">
        <f t="array" ref="Q5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5" t="str" cm="1">
        <f t="array" ref="R5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6" spans="1:18" x14ac:dyDescent="0.25">
      <c r="A546" s="14" t="str" cm="1">
        <f t="array" ref="A546">IF(Tasks[[#This Row],[Task]]="","","T-"&amp;TEXT(ROW()-ROW(Tasks[#Headers]),"000"))</f>
        <v/>
      </c>
      <c r="B546" s="15"/>
      <c r="C546" s="15"/>
      <c r="D546" s="15"/>
      <c r="E546" s="15"/>
      <c r="F546" s="16"/>
      <c r="G546" s="16"/>
      <c r="H546" s="16"/>
      <c r="I546" s="15"/>
      <c r="J546" s="15"/>
      <c r="K5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6" s="17" t="str">
        <f>IF(Tasks[[#This Row],[Task]]="","",IFERROR(VLOOKUP(IF(Tasks[[#This Row],[Effort]]="","M",Tasks[[#This Row],[Effort]]),EffortTable,2,FALSE),0))</f>
        <v/>
      </c>
      <c r="N546" t="str">
        <f>IF(Tasks[[#This Row],[Task]]="","",IFERROR(MATCH(Tasks[[#This Row],[Status]],{"Late","Blocked","Due soon"},0),9)*100000+N(Tasks[[#This Row],[Due]]))</f>
        <v/>
      </c>
      <c r="O546" t="str" cm="1">
        <f t="array" aca="1" ref="O5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6" t="str" cm="1">
        <f t="array" ref="P5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6" t="str" cm="1">
        <f t="array" ref="Q5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6" t="str" cm="1">
        <f t="array" ref="R5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7" spans="1:18" x14ac:dyDescent="0.25">
      <c r="A547" s="14" t="str" cm="1">
        <f t="array" ref="A547">IF(Tasks[[#This Row],[Task]]="","","T-"&amp;TEXT(ROW()-ROW(Tasks[#Headers]),"000"))</f>
        <v/>
      </c>
      <c r="B547" s="15"/>
      <c r="C547" s="15"/>
      <c r="D547" s="15"/>
      <c r="E547" s="15"/>
      <c r="F547" s="16"/>
      <c r="G547" s="16"/>
      <c r="H547" s="16"/>
      <c r="I547" s="15"/>
      <c r="J547" s="15"/>
      <c r="K5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7" s="17" t="str">
        <f>IF(Tasks[[#This Row],[Task]]="","",IFERROR(VLOOKUP(IF(Tasks[[#This Row],[Effort]]="","M",Tasks[[#This Row],[Effort]]),EffortTable,2,FALSE),0))</f>
        <v/>
      </c>
      <c r="N547" t="str">
        <f>IF(Tasks[[#This Row],[Task]]="","",IFERROR(MATCH(Tasks[[#This Row],[Status]],{"Late","Blocked","Due soon"},0),9)*100000+N(Tasks[[#This Row],[Due]]))</f>
        <v/>
      </c>
      <c r="O547" t="str" cm="1">
        <f t="array" aca="1" ref="O5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7" t="str" cm="1">
        <f t="array" ref="P5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7" t="str" cm="1">
        <f t="array" ref="Q5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7" t="str" cm="1">
        <f t="array" ref="R5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8" spans="1:18" x14ac:dyDescent="0.25">
      <c r="A548" s="14" t="str" cm="1">
        <f t="array" ref="A548">IF(Tasks[[#This Row],[Task]]="","","T-"&amp;TEXT(ROW()-ROW(Tasks[#Headers]),"000"))</f>
        <v/>
      </c>
      <c r="B548" s="15"/>
      <c r="C548" s="15"/>
      <c r="D548" s="15"/>
      <c r="E548" s="15"/>
      <c r="F548" s="16"/>
      <c r="G548" s="16"/>
      <c r="H548" s="16"/>
      <c r="I548" s="15"/>
      <c r="J548" s="15"/>
      <c r="K5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8" s="17" t="str">
        <f>IF(Tasks[[#This Row],[Task]]="","",IFERROR(VLOOKUP(IF(Tasks[[#This Row],[Effort]]="","M",Tasks[[#This Row],[Effort]]),EffortTable,2,FALSE),0))</f>
        <v/>
      </c>
      <c r="N548" t="str">
        <f>IF(Tasks[[#This Row],[Task]]="","",IFERROR(MATCH(Tasks[[#This Row],[Status]],{"Late","Blocked","Due soon"},0),9)*100000+N(Tasks[[#This Row],[Due]]))</f>
        <v/>
      </c>
      <c r="O548" t="str" cm="1">
        <f t="array" aca="1" ref="O5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8" t="str" cm="1">
        <f t="array" ref="P5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8" t="str" cm="1">
        <f t="array" ref="Q5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8" t="str" cm="1">
        <f t="array" ref="R5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49" spans="1:18" x14ac:dyDescent="0.25">
      <c r="A549" s="14" t="str" cm="1">
        <f t="array" ref="A549">IF(Tasks[[#This Row],[Task]]="","","T-"&amp;TEXT(ROW()-ROW(Tasks[#Headers]),"000"))</f>
        <v/>
      </c>
      <c r="B549" s="15"/>
      <c r="C549" s="15"/>
      <c r="D549" s="15"/>
      <c r="E549" s="15"/>
      <c r="F549" s="16"/>
      <c r="G549" s="16"/>
      <c r="H549" s="16"/>
      <c r="I549" s="15"/>
      <c r="J549" s="15"/>
      <c r="K5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49" s="17" t="str">
        <f>IF(Tasks[[#This Row],[Task]]="","",IFERROR(VLOOKUP(IF(Tasks[[#This Row],[Effort]]="","M",Tasks[[#This Row],[Effort]]),EffortTable,2,FALSE),0))</f>
        <v/>
      </c>
      <c r="N549" t="str">
        <f>IF(Tasks[[#This Row],[Task]]="","",IFERROR(MATCH(Tasks[[#This Row],[Status]],{"Late","Blocked","Due soon"},0),9)*100000+N(Tasks[[#This Row],[Due]]))</f>
        <v/>
      </c>
      <c r="O549" t="str" cm="1">
        <f t="array" aca="1" ref="O5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49" t="str" cm="1">
        <f t="array" ref="P5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49" t="str" cm="1">
        <f t="array" ref="Q5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49" t="str" cm="1">
        <f t="array" ref="R5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0" spans="1:18" x14ac:dyDescent="0.25">
      <c r="A550" s="14" t="str" cm="1">
        <f t="array" ref="A550">IF(Tasks[[#This Row],[Task]]="","","T-"&amp;TEXT(ROW()-ROW(Tasks[#Headers]),"000"))</f>
        <v/>
      </c>
      <c r="B550" s="15"/>
      <c r="C550" s="15"/>
      <c r="D550" s="15"/>
      <c r="E550" s="15"/>
      <c r="F550" s="16"/>
      <c r="G550" s="16"/>
      <c r="H550" s="16"/>
      <c r="I550" s="15"/>
      <c r="J550" s="15"/>
      <c r="K5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0" s="17" t="str">
        <f>IF(Tasks[[#This Row],[Task]]="","",IFERROR(VLOOKUP(IF(Tasks[[#This Row],[Effort]]="","M",Tasks[[#This Row],[Effort]]),EffortTable,2,FALSE),0))</f>
        <v/>
      </c>
      <c r="N550" t="str">
        <f>IF(Tasks[[#This Row],[Task]]="","",IFERROR(MATCH(Tasks[[#This Row],[Status]],{"Late","Blocked","Due soon"},0),9)*100000+N(Tasks[[#This Row],[Due]]))</f>
        <v/>
      </c>
      <c r="O550" t="str" cm="1">
        <f t="array" aca="1" ref="O5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0" t="str" cm="1">
        <f t="array" ref="P5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0" t="str" cm="1">
        <f t="array" ref="Q5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0" t="str" cm="1">
        <f t="array" ref="R5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1" spans="1:18" x14ac:dyDescent="0.25">
      <c r="A551" s="14" t="str" cm="1">
        <f t="array" ref="A551">IF(Tasks[[#This Row],[Task]]="","","T-"&amp;TEXT(ROW()-ROW(Tasks[#Headers]),"000"))</f>
        <v/>
      </c>
      <c r="B551" s="15"/>
      <c r="C551" s="15"/>
      <c r="D551" s="15"/>
      <c r="E551" s="15"/>
      <c r="F551" s="16"/>
      <c r="G551" s="16"/>
      <c r="H551" s="16"/>
      <c r="I551" s="15"/>
      <c r="J551" s="15"/>
      <c r="K5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1" s="17" t="str">
        <f>IF(Tasks[[#This Row],[Task]]="","",IFERROR(VLOOKUP(IF(Tasks[[#This Row],[Effort]]="","M",Tasks[[#This Row],[Effort]]),EffortTable,2,FALSE),0))</f>
        <v/>
      </c>
      <c r="N551" t="str">
        <f>IF(Tasks[[#This Row],[Task]]="","",IFERROR(MATCH(Tasks[[#This Row],[Status]],{"Late","Blocked","Due soon"},0),9)*100000+N(Tasks[[#This Row],[Due]]))</f>
        <v/>
      </c>
      <c r="O551" t="str" cm="1">
        <f t="array" aca="1" ref="O5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1" t="str" cm="1">
        <f t="array" ref="P5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1" t="str" cm="1">
        <f t="array" ref="Q5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1" t="str" cm="1">
        <f t="array" ref="R5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2" spans="1:18" x14ac:dyDescent="0.25">
      <c r="A552" s="14" t="str" cm="1">
        <f t="array" ref="A552">IF(Tasks[[#This Row],[Task]]="","","T-"&amp;TEXT(ROW()-ROW(Tasks[#Headers]),"000"))</f>
        <v/>
      </c>
      <c r="B552" s="15"/>
      <c r="C552" s="15"/>
      <c r="D552" s="15"/>
      <c r="E552" s="15"/>
      <c r="F552" s="16"/>
      <c r="G552" s="16"/>
      <c r="H552" s="16"/>
      <c r="I552" s="15"/>
      <c r="J552" s="15"/>
      <c r="K5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2" s="17" t="str">
        <f>IF(Tasks[[#This Row],[Task]]="","",IFERROR(VLOOKUP(IF(Tasks[[#This Row],[Effort]]="","M",Tasks[[#This Row],[Effort]]),EffortTable,2,FALSE),0))</f>
        <v/>
      </c>
      <c r="N552" t="str">
        <f>IF(Tasks[[#This Row],[Task]]="","",IFERROR(MATCH(Tasks[[#This Row],[Status]],{"Late","Blocked","Due soon"},0),9)*100000+N(Tasks[[#This Row],[Due]]))</f>
        <v/>
      </c>
      <c r="O552" t="str" cm="1">
        <f t="array" aca="1" ref="O5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2" t="str" cm="1">
        <f t="array" ref="P5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2" t="str" cm="1">
        <f t="array" ref="Q5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2" t="str" cm="1">
        <f t="array" ref="R5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3" spans="1:18" x14ac:dyDescent="0.25">
      <c r="A553" s="14" t="str" cm="1">
        <f t="array" ref="A553">IF(Tasks[[#This Row],[Task]]="","","T-"&amp;TEXT(ROW()-ROW(Tasks[#Headers]),"000"))</f>
        <v/>
      </c>
      <c r="B553" s="15"/>
      <c r="C553" s="15"/>
      <c r="D553" s="15"/>
      <c r="E553" s="15"/>
      <c r="F553" s="16"/>
      <c r="G553" s="16"/>
      <c r="H553" s="16"/>
      <c r="I553" s="15"/>
      <c r="J553" s="15"/>
      <c r="K5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3" s="17" t="str">
        <f>IF(Tasks[[#This Row],[Task]]="","",IFERROR(VLOOKUP(IF(Tasks[[#This Row],[Effort]]="","M",Tasks[[#This Row],[Effort]]),EffortTable,2,FALSE),0))</f>
        <v/>
      </c>
      <c r="N553" t="str">
        <f>IF(Tasks[[#This Row],[Task]]="","",IFERROR(MATCH(Tasks[[#This Row],[Status]],{"Late","Blocked","Due soon"},0),9)*100000+N(Tasks[[#This Row],[Due]]))</f>
        <v/>
      </c>
      <c r="O553" t="str" cm="1">
        <f t="array" aca="1" ref="O5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3" t="str" cm="1">
        <f t="array" ref="P5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3" t="str" cm="1">
        <f t="array" ref="Q5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3" t="str" cm="1">
        <f t="array" ref="R5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4" spans="1:18" x14ac:dyDescent="0.25">
      <c r="A554" s="14" t="str" cm="1">
        <f t="array" ref="A554">IF(Tasks[[#This Row],[Task]]="","","T-"&amp;TEXT(ROW()-ROW(Tasks[#Headers]),"000"))</f>
        <v/>
      </c>
      <c r="B554" s="15"/>
      <c r="C554" s="15"/>
      <c r="D554" s="15"/>
      <c r="E554" s="15"/>
      <c r="F554" s="16"/>
      <c r="G554" s="16"/>
      <c r="H554" s="16"/>
      <c r="I554" s="15"/>
      <c r="J554" s="15"/>
      <c r="K5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4" s="17" t="str">
        <f>IF(Tasks[[#This Row],[Task]]="","",IFERROR(VLOOKUP(IF(Tasks[[#This Row],[Effort]]="","M",Tasks[[#This Row],[Effort]]),EffortTable,2,FALSE),0))</f>
        <v/>
      </c>
      <c r="N554" t="str">
        <f>IF(Tasks[[#This Row],[Task]]="","",IFERROR(MATCH(Tasks[[#This Row],[Status]],{"Late","Blocked","Due soon"},0),9)*100000+N(Tasks[[#This Row],[Due]]))</f>
        <v/>
      </c>
      <c r="O554" t="str" cm="1">
        <f t="array" aca="1" ref="O5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4" t="str" cm="1">
        <f t="array" ref="P5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4" t="str" cm="1">
        <f t="array" ref="Q5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4" t="str" cm="1">
        <f t="array" ref="R5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5" spans="1:18" x14ac:dyDescent="0.25">
      <c r="A555" s="14" t="str" cm="1">
        <f t="array" ref="A555">IF(Tasks[[#This Row],[Task]]="","","T-"&amp;TEXT(ROW()-ROW(Tasks[#Headers]),"000"))</f>
        <v/>
      </c>
      <c r="B555" s="15"/>
      <c r="C555" s="15"/>
      <c r="D555" s="15"/>
      <c r="E555" s="15"/>
      <c r="F555" s="16"/>
      <c r="G555" s="16"/>
      <c r="H555" s="16"/>
      <c r="I555" s="15"/>
      <c r="J555" s="15"/>
      <c r="K5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5" s="17" t="str">
        <f>IF(Tasks[[#This Row],[Task]]="","",IFERROR(VLOOKUP(IF(Tasks[[#This Row],[Effort]]="","M",Tasks[[#This Row],[Effort]]),EffortTable,2,FALSE),0))</f>
        <v/>
      </c>
      <c r="N555" t="str">
        <f>IF(Tasks[[#This Row],[Task]]="","",IFERROR(MATCH(Tasks[[#This Row],[Status]],{"Late","Blocked","Due soon"},0),9)*100000+N(Tasks[[#This Row],[Due]]))</f>
        <v/>
      </c>
      <c r="O555" t="str" cm="1">
        <f t="array" aca="1" ref="O5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5" t="str" cm="1">
        <f t="array" ref="P5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5" t="str" cm="1">
        <f t="array" ref="Q5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5" t="str" cm="1">
        <f t="array" ref="R5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6" spans="1:18" x14ac:dyDescent="0.25">
      <c r="A556" s="14" t="str" cm="1">
        <f t="array" ref="A556">IF(Tasks[[#This Row],[Task]]="","","T-"&amp;TEXT(ROW()-ROW(Tasks[#Headers]),"000"))</f>
        <v/>
      </c>
      <c r="B556" s="15"/>
      <c r="C556" s="15"/>
      <c r="D556" s="15"/>
      <c r="E556" s="15"/>
      <c r="F556" s="16"/>
      <c r="G556" s="16"/>
      <c r="H556" s="16"/>
      <c r="I556" s="15"/>
      <c r="J556" s="15"/>
      <c r="K5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6" s="17" t="str">
        <f>IF(Tasks[[#This Row],[Task]]="","",IFERROR(VLOOKUP(IF(Tasks[[#This Row],[Effort]]="","M",Tasks[[#This Row],[Effort]]),EffortTable,2,FALSE),0))</f>
        <v/>
      </c>
      <c r="N556" t="str">
        <f>IF(Tasks[[#This Row],[Task]]="","",IFERROR(MATCH(Tasks[[#This Row],[Status]],{"Late","Blocked","Due soon"},0),9)*100000+N(Tasks[[#This Row],[Due]]))</f>
        <v/>
      </c>
      <c r="O556" t="str" cm="1">
        <f t="array" aca="1" ref="O5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6" t="str" cm="1">
        <f t="array" ref="P5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6" t="str" cm="1">
        <f t="array" ref="Q5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6" t="str" cm="1">
        <f t="array" ref="R5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7" spans="1:18" x14ac:dyDescent="0.25">
      <c r="A557" s="14" t="str" cm="1">
        <f t="array" ref="A557">IF(Tasks[[#This Row],[Task]]="","","T-"&amp;TEXT(ROW()-ROW(Tasks[#Headers]),"000"))</f>
        <v/>
      </c>
      <c r="B557" s="15"/>
      <c r="C557" s="15"/>
      <c r="D557" s="15"/>
      <c r="E557" s="15"/>
      <c r="F557" s="16"/>
      <c r="G557" s="16"/>
      <c r="H557" s="16"/>
      <c r="I557" s="15"/>
      <c r="J557" s="15"/>
      <c r="K5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7" s="17" t="str">
        <f>IF(Tasks[[#This Row],[Task]]="","",IFERROR(VLOOKUP(IF(Tasks[[#This Row],[Effort]]="","M",Tasks[[#This Row],[Effort]]),EffortTable,2,FALSE),0))</f>
        <v/>
      </c>
      <c r="N557" t="str">
        <f>IF(Tasks[[#This Row],[Task]]="","",IFERROR(MATCH(Tasks[[#This Row],[Status]],{"Late","Blocked","Due soon"},0),9)*100000+N(Tasks[[#This Row],[Due]]))</f>
        <v/>
      </c>
      <c r="O557" t="str" cm="1">
        <f t="array" aca="1" ref="O5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7" t="str" cm="1">
        <f t="array" ref="P5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7" t="str" cm="1">
        <f t="array" ref="Q5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7" t="str" cm="1">
        <f t="array" ref="R5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8" spans="1:18" x14ac:dyDescent="0.25">
      <c r="A558" s="14" t="str" cm="1">
        <f t="array" ref="A558">IF(Tasks[[#This Row],[Task]]="","","T-"&amp;TEXT(ROW()-ROW(Tasks[#Headers]),"000"))</f>
        <v/>
      </c>
      <c r="B558" s="15"/>
      <c r="C558" s="15"/>
      <c r="D558" s="15"/>
      <c r="E558" s="15"/>
      <c r="F558" s="16"/>
      <c r="G558" s="16"/>
      <c r="H558" s="16"/>
      <c r="I558" s="15"/>
      <c r="J558" s="15"/>
      <c r="K5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8" s="17" t="str">
        <f>IF(Tasks[[#This Row],[Task]]="","",IFERROR(VLOOKUP(IF(Tasks[[#This Row],[Effort]]="","M",Tasks[[#This Row],[Effort]]),EffortTable,2,FALSE),0))</f>
        <v/>
      </c>
      <c r="N558" t="str">
        <f>IF(Tasks[[#This Row],[Task]]="","",IFERROR(MATCH(Tasks[[#This Row],[Status]],{"Late","Blocked","Due soon"},0),9)*100000+N(Tasks[[#This Row],[Due]]))</f>
        <v/>
      </c>
      <c r="O558" t="str" cm="1">
        <f t="array" aca="1" ref="O5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8" t="str" cm="1">
        <f t="array" ref="P5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8" t="str" cm="1">
        <f t="array" ref="Q5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8" t="str" cm="1">
        <f t="array" ref="R5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59" spans="1:18" x14ac:dyDescent="0.25">
      <c r="A559" s="14" t="str" cm="1">
        <f t="array" ref="A559">IF(Tasks[[#This Row],[Task]]="","","T-"&amp;TEXT(ROW()-ROW(Tasks[#Headers]),"000"))</f>
        <v/>
      </c>
      <c r="B559" s="15"/>
      <c r="C559" s="15"/>
      <c r="D559" s="15"/>
      <c r="E559" s="15"/>
      <c r="F559" s="16"/>
      <c r="G559" s="16"/>
      <c r="H559" s="16"/>
      <c r="I559" s="15"/>
      <c r="J559" s="15"/>
      <c r="K5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59" s="17" t="str">
        <f>IF(Tasks[[#This Row],[Task]]="","",IFERROR(VLOOKUP(IF(Tasks[[#This Row],[Effort]]="","M",Tasks[[#This Row],[Effort]]),EffortTable,2,FALSE),0))</f>
        <v/>
      </c>
      <c r="N559" t="str">
        <f>IF(Tasks[[#This Row],[Task]]="","",IFERROR(MATCH(Tasks[[#This Row],[Status]],{"Late","Blocked","Due soon"},0),9)*100000+N(Tasks[[#This Row],[Due]]))</f>
        <v/>
      </c>
      <c r="O559" t="str" cm="1">
        <f t="array" aca="1" ref="O5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59" t="str" cm="1">
        <f t="array" ref="P5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59" t="str" cm="1">
        <f t="array" ref="Q5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59" t="str" cm="1">
        <f t="array" ref="R5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0" spans="1:18" x14ac:dyDescent="0.25">
      <c r="A560" s="14" t="str" cm="1">
        <f t="array" ref="A560">IF(Tasks[[#This Row],[Task]]="","","T-"&amp;TEXT(ROW()-ROW(Tasks[#Headers]),"000"))</f>
        <v/>
      </c>
      <c r="B560" s="15"/>
      <c r="C560" s="15"/>
      <c r="D560" s="15"/>
      <c r="E560" s="15"/>
      <c r="F560" s="16"/>
      <c r="G560" s="16"/>
      <c r="H560" s="16"/>
      <c r="I560" s="15"/>
      <c r="J560" s="15"/>
      <c r="K5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0" s="17" t="str">
        <f>IF(Tasks[[#This Row],[Task]]="","",IFERROR(VLOOKUP(IF(Tasks[[#This Row],[Effort]]="","M",Tasks[[#This Row],[Effort]]),EffortTable,2,FALSE),0))</f>
        <v/>
      </c>
      <c r="N560" t="str">
        <f>IF(Tasks[[#This Row],[Task]]="","",IFERROR(MATCH(Tasks[[#This Row],[Status]],{"Late","Blocked","Due soon"},0),9)*100000+N(Tasks[[#This Row],[Due]]))</f>
        <v/>
      </c>
      <c r="O560" t="str" cm="1">
        <f t="array" aca="1" ref="O5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0" t="str" cm="1">
        <f t="array" ref="P5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0" t="str" cm="1">
        <f t="array" ref="Q5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0" t="str" cm="1">
        <f t="array" ref="R5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1" spans="1:18" x14ac:dyDescent="0.25">
      <c r="A561" s="14" t="str" cm="1">
        <f t="array" ref="A561">IF(Tasks[[#This Row],[Task]]="","","T-"&amp;TEXT(ROW()-ROW(Tasks[#Headers]),"000"))</f>
        <v/>
      </c>
      <c r="B561" s="15"/>
      <c r="C561" s="15"/>
      <c r="D561" s="15"/>
      <c r="E561" s="15"/>
      <c r="F561" s="16"/>
      <c r="G561" s="16"/>
      <c r="H561" s="16"/>
      <c r="I561" s="15"/>
      <c r="J561" s="15"/>
      <c r="K5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1" s="17" t="str">
        <f>IF(Tasks[[#This Row],[Task]]="","",IFERROR(VLOOKUP(IF(Tasks[[#This Row],[Effort]]="","M",Tasks[[#This Row],[Effort]]),EffortTable,2,FALSE),0))</f>
        <v/>
      </c>
      <c r="N561" t="str">
        <f>IF(Tasks[[#This Row],[Task]]="","",IFERROR(MATCH(Tasks[[#This Row],[Status]],{"Late","Blocked","Due soon"},0),9)*100000+N(Tasks[[#This Row],[Due]]))</f>
        <v/>
      </c>
      <c r="O561" t="str" cm="1">
        <f t="array" aca="1" ref="O5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1" t="str" cm="1">
        <f t="array" ref="P5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1" t="str" cm="1">
        <f t="array" ref="Q5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1" t="str" cm="1">
        <f t="array" ref="R5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2" spans="1:18" x14ac:dyDescent="0.25">
      <c r="A562" s="14" t="str" cm="1">
        <f t="array" ref="A562">IF(Tasks[[#This Row],[Task]]="","","T-"&amp;TEXT(ROW()-ROW(Tasks[#Headers]),"000"))</f>
        <v/>
      </c>
      <c r="B562" s="15"/>
      <c r="C562" s="15"/>
      <c r="D562" s="15"/>
      <c r="E562" s="15"/>
      <c r="F562" s="16"/>
      <c r="G562" s="16"/>
      <c r="H562" s="16"/>
      <c r="I562" s="15"/>
      <c r="J562" s="15"/>
      <c r="K5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2" s="17" t="str">
        <f>IF(Tasks[[#This Row],[Task]]="","",IFERROR(VLOOKUP(IF(Tasks[[#This Row],[Effort]]="","M",Tasks[[#This Row],[Effort]]),EffortTable,2,FALSE),0))</f>
        <v/>
      </c>
      <c r="N562" t="str">
        <f>IF(Tasks[[#This Row],[Task]]="","",IFERROR(MATCH(Tasks[[#This Row],[Status]],{"Late","Blocked","Due soon"},0),9)*100000+N(Tasks[[#This Row],[Due]]))</f>
        <v/>
      </c>
      <c r="O562" t="str" cm="1">
        <f t="array" aca="1" ref="O5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2" t="str" cm="1">
        <f t="array" ref="P5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2" t="str" cm="1">
        <f t="array" ref="Q5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2" t="str" cm="1">
        <f t="array" ref="R5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3" spans="1:18" x14ac:dyDescent="0.25">
      <c r="A563" s="14" t="str" cm="1">
        <f t="array" ref="A563">IF(Tasks[[#This Row],[Task]]="","","T-"&amp;TEXT(ROW()-ROW(Tasks[#Headers]),"000"))</f>
        <v/>
      </c>
      <c r="B563" s="15"/>
      <c r="C563" s="15"/>
      <c r="D563" s="15"/>
      <c r="E563" s="15"/>
      <c r="F563" s="16"/>
      <c r="G563" s="16"/>
      <c r="H563" s="16"/>
      <c r="I563" s="15"/>
      <c r="J563" s="15"/>
      <c r="K5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3" s="17" t="str">
        <f>IF(Tasks[[#This Row],[Task]]="","",IFERROR(VLOOKUP(IF(Tasks[[#This Row],[Effort]]="","M",Tasks[[#This Row],[Effort]]),EffortTable,2,FALSE),0))</f>
        <v/>
      </c>
      <c r="N563" t="str">
        <f>IF(Tasks[[#This Row],[Task]]="","",IFERROR(MATCH(Tasks[[#This Row],[Status]],{"Late","Blocked","Due soon"},0),9)*100000+N(Tasks[[#This Row],[Due]]))</f>
        <v/>
      </c>
      <c r="O563" t="str" cm="1">
        <f t="array" aca="1" ref="O5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3" t="str" cm="1">
        <f t="array" ref="P5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3" t="str" cm="1">
        <f t="array" ref="Q5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3" t="str" cm="1">
        <f t="array" ref="R5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4" spans="1:18" x14ac:dyDescent="0.25">
      <c r="A564" s="14" t="str" cm="1">
        <f t="array" ref="A564">IF(Tasks[[#This Row],[Task]]="","","T-"&amp;TEXT(ROW()-ROW(Tasks[#Headers]),"000"))</f>
        <v/>
      </c>
      <c r="B564" s="15"/>
      <c r="C564" s="15"/>
      <c r="D564" s="15"/>
      <c r="E564" s="15"/>
      <c r="F564" s="16"/>
      <c r="G564" s="16"/>
      <c r="H564" s="16"/>
      <c r="I564" s="15"/>
      <c r="J564" s="15"/>
      <c r="K5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4" s="17" t="str">
        <f>IF(Tasks[[#This Row],[Task]]="","",IFERROR(VLOOKUP(IF(Tasks[[#This Row],[Effort]]="","M",Tasks[[#This Row],[Effort]]),EffortTable,2,FALSE),0))</f>
        <v/>
      </c>
      <c r="N564" t="str">
        <f>IF(Tasks[[#This Row],[Task]]="","",IFERROR(MATCH(Tasks[[#This Row],[Status]],{"Late","Blocked","Due soon"},0),9)*100000+N(Tasks[[#This Row],[Due]]))</f>
        <v/>
      </c>
      <c r="O564" t="str" cm="1">
        <f t="array" aca="1" ref="O5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4" t="str" cm="1">
        <f t="array" ref="P5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4" t="str" cm="1">
        <f t="array" ref="Q5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4" t="str" cm="1">
        <f t="array" ref="R5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5" spans="1:18" x14ac:dyDescent="0.25">
      <c r="A565" s="14" t="str" cm="1">
        <f t="array" ref="A565">IF(Tasks[[#This Row],[Task]]="","","T-"&amp;TEXT(ROW()-ROW(Tasks[#Headers]),"000"))</f>
        <v/>
      </c>
      <c r="B565" s="15"/>
      <c r="C565" s="15"/>
      <c r="D565" s="15"/>
      <c r="E565" s="15"/>
      <c r="F565" s="16"/>
      <c r="G565" s="16"/>
      <c r="H565" s="16"/>
      <c r="I565" s="15"/>
      <c r="J565" s="15"/>
      <c r="K5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5" s="17" t="str">
        <f>IF(Tasks[[#This Row],[Task]]="","",IFERROR(VLOOKUP(IF(Tasks[[#This Row],[Effort]]="","M",Tasks[[#This Row],[Effort]]),EffortTable,2,FALSE),0))</f>
        <v/>
      </c>
      <c r="N565" t="str">
        <f>IF(Tasks[[#This Row],[Task]]="","",IFERROR(MATCH(Tasks[[#This Row],[Status]],{"Late","Blocked","Due soon"},0),9)*100000+N(Tasks[[#This Row],[Due]]))</f>
        <v/>
      </c>
      <c r="O565" t="str" cm="1">
        <f t="array" aca="1" ref="O5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5" t="str" cm="1">
        <f t="array" ref="P5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5" t="str" cm="1">
        <f t="array" ref="Q5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5" t="str" cm="1">
        <f t="array" ref="R5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6" spans="1:18" x14ac:dyDescent="0.25">
      <c r="A566" s="14" t="str" cm="1">
        <f t="array" ref="A566">IF(Tasks[[#This Row],[Task]]="","","T-"&amp;TEXT(ROW()-ROW(Tasks[#Headers]),"000"))</f>
        <v/>
      </c>
      <c r="B566" s="15"/>
      <c r="C566" s="15"/>
      <c r="D566" s="15"/>
      <c r="E566" s="15"/>
      <c r="F566" s="16"/>
      <c r="G566" s="16"/>
      <c r="H566" s="16"/>
      <c r="I566" s="15"/>
      <c r="J566" s="15"/>
      <c r="K5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6" s="17" t="str">
        <f>IF(Tasks[[#This Row],[Task]]="","",IFERROR(VLOOKUP(IF(Tasks[[#This Row],[Effort]]="","M",Tasks[[#This Row],[Effort]]),EffortTable,2,FALSE),0))</f>
        <v/>
      </c>
      <c r="N566" t="str">
        <f>IF(Tasks[[#This Row],[Task]]="","",IFERROR(MATCH(Tasks[[#This Row],[Status]],{"Late","Blocked","Due soon"},0),9)*100000+N(Tasks[[#This Row],[Due]]))</f>
        <v/>
      </c>
      <c r="O566" t="str" cm="1">
        <f t="array" aca="1" ref="O5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6" t="str" cm="1">
        <f t="array" ref="P5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6" t="str" cm="1">
        <f t="array" ref="Q5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6" t="str" cm="1">
        <f t="array" ref="R5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7" spans="1:18" x14ac:dyDescent="0.25">
      <c r="A567" s="14" t="str" cm="1">
        <f t="array" ref="A567">IF(Tasks[[#This Row],[Task]]="","","T-"&amp;TEXT(ROW()-ROW(Tasks[#Headers]),"000"))</f>
        <v/>
      </c>
      <c r="B567" s="15"/>
      <c r="C567" s="15"/>
      <c r="D567" s="15"/>
      <c r="E567" s="15"/>
      <c r="F567" s="16"/>
      <c r="G567" s="16"/>
      <c r="H567" s="16"/>
      <c r="I567" s="15"/>
      <c r="J567" s="15"/>
      <c r="K5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7" s="17" t="str">
        <f>IF(Tasks[[#This Row],[Task]]="","",IFERROR(VLOOKUP(IF(Tasks[[#This Row],[Effort]]="","M",Tasks[[#This Row],[Effort]]),EffortTable,2,FALSE),0))</f>
        <v/>
      </c>
      <c r="N567" t="str">
        <f>IF(Tasks[[#This Row],[Task]]="","",IFERROR(MATCH(Tasks[[#This Row],[Status]],{"Late","Blocked","Due soon"},0),9)*100000+N(Tasks[[#This Row],[Due]]))</f>
        <v/>
      </c>
      <c r="O567" t="str" cm="1">
        <f t="array" aca="1" ref="O5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7" t="str" cm="1">
        <f t="array" ref="P5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7" t="str" cm="1">
        <f t="array" ref="Q5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7" t="str" cm="1">
        <f t="array" ref="R5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8" spans="1:18" x14ac:dyDescent="0.25">
      <c r="A568" s="14" t="str" cm="1">
        <f t="array" ref="A568">IF(Tasks[[#This Row],[Task]]="","","T-"&amp;TEXT(ROW()-ROW(Tasks[#Headers]),"000"))</f>
        <v/>
      </c>
      <c r="B568" s="15"/>
      <c r="C568" s="15"/>
      <c r="D568" s="15"/>
      <c r="E568" s="15"/>
      <c r="F568" s="16"/>
      <c r="G568" s="16"/>
      <c r="H568" s="16"/>
      <c r="I568" s="15"/>
      <c r="J568" s="15"/>
      <c r="K5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8" s="17" t="str">
        <f>IF(Tasks[[#This Row],[Task]]="","",IFERROR(VLOOKUP(IF(Tasks[[#This Row],[Effort]]="","M",Tasks[[#This Row],[Effort]]),EffortTable,2,FALSE),0))</f>
        <v/>
      </c>
      <c r="N568" t="str">
        <f>IF(Tasks[[#This Row],[Task]]="","",IFERROR(MATCH(Tasks[[#This Row],[Status]],{"Late","Blocked","Due soon"},0),9)*100000+N(Tasks[[#This Row],[Due]]))</f>
        <v/>
      </c>
      <c r="O568" t="str" cm="1">
        <f t="array" aca="1" ref="O5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8" t="str" cm="1">
        <f t="array" ref="P5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8" t="str" cm="1">
        <f t="array" ref="Q5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8" t="str" cm="1">
        <f t="array" ref="R5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69" spans="1:18" x14ac:dyDescent="0.25">
      <c r="A569" s="14" t="str" cm="1">
        <f t="array" ref="A569">IF(Tasks[[#This Row],[Task]]="","","T-"&amp;TEXT(ROW()-ROW(Tasks[#Headers]),"000"))</f>
        <v/>
      </c>
      <c r="B569" s="15"/>
      <c r="C569" s="15"/>
      <c r="D569" s="15"/>
      <c r="E569" s="15"/>
      <c r="F569" s="16"/>
      <c r="G569" s="16"/>
      <c r="H569" s="16"/>
      <c r="I569" s="15"/>
      <c r="J569" s="15"/>
      <c r="K5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69" s="17" t="str">
        <f>IF(Tasks[[#This Row],[Task]]="","",IFERROR(VLOOKUP(IF(Tasks[[#This Row],[Effort]]="","M",Tasks[[#This Row],[Effort]]),EffortTable,2,FALSE),0))</f>
        <v/>
      </c>
      <c r="N569" t="str">
        <f>IF(Tasks[[#This Row],[Task]]="","",IFERROR(MATCH(Tasks[[#This Row],[Status]],{"Late","Blocked","Due soon"},0),9)*100000+N(Tasks[[#This Row],[Due]]))</f>
        <v/>
      </c>
      <c r="O569" t="str" cm="1">
        <f t="array" aca="1" ref="O5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69" t="str" cm="1">
        <f t="array" ref="P5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69" t="str" cm="1">
        <f t="array" ref="Q5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69" t="str" cm="1">
        <f t="array" ref="R5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0" spans="1:18" x14ac:dyDescent="0.25">
      <c r="A570" s="14" t="str" cm="1">
        <f t="array" ref="A570">IF(Tasks[[#This Row],[Task]]="","","T-"&amp;TEXT(ROW()-ROW(Tasks[#Headers]),"000"))</f>
        <v/>
      </c>
      <c r="B570" s="15"/>
      <c r="C570" s="15"/>
      <c r="D570" s="15"/>
      <c r="E570" s="15"/>
      <c r="F570" s="16"/>
      <c r="G570" s="16"/>
      <c r="H570" s="16"/>
      <c r="I570" s="15"/>
      <c r="J570" s="15"/>
      <c r="K5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0" s="17" t="str">
        <f>IF(Tasks[[#This Row],[Task]]="","",IFERROR(VLOOKUP(IF(Tasks[[#This Row],[Effort]]="","M",Tasks[[#This Row],[Effort]]),EffortTable,2,FALSE),0))</f>
        <v/>
      </c>
      <c r="N570" t="str">
        <f>IF(Tasks[[#This Row],[Task]]="","",IFERROR(MATCH(Tasks[[#This Row],[Status]],{"Late","Blocked","Due soon"},0),9)*100000+N(Tasks[[#This Row],[Due]]))</f>
        <v/>
      </c>
      <c r="O570" t="str" cm="1">
        <f t="array" aca="1" ref="O5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0" t="str" cm="1">
        <f t="array" ref="P5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0" t="str" cm="1">
        <f t="array" ref="Q5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0" t="str" cm="1">
        <f t="array" ref="R5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1" spans="1:18" x14ac:dyDescent="0.25">
      <c r="A571" s="14" t="str" cm="1">
        <f t="array" ref="A571">IF(Tasks[[#This Row],[Task]]="","","T-"&amp;TEXT(ROW()-ROW(Tasks[#Headers]),"000"))</f>
        <v/>
      </c>
      <c r="B571" s="15"/>
      <c r="C571" s="15"/>
      <c r="D571" s="15"/>
      <c r="E571" s="15"/>
      <c r="F571" s="16"/>
      <c r="G571" s="16"/>
      <c r="H571" s="16"/>
      <c r="I571" s="15"/>
      <c r="J571" s="15"/>
      <c r="K5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1" s="17" t="str">
        <f>IF(Tasks[[#This Row],[Task]]="","",IFERROR(VLOOKUP(IF(Tasks[[#This Row],[Effort]]="","M",Tasks[[#This Row],[Effort]]),EffortTable,2,FALSE),0))</f>
        <v/>
      </c>
      <c r="N571" t="str">
        <f>IF(Tasks[[#This Row],[Task]]="","",IFERROR(MATCH(Tasks[[#This Row],[Status]],{"Late","Blocked","Due soon"},0),9)*100000+N(Tasks[[#This Row],[Due]]))</f>
        <v/>
      </c>
      <c r="O571" t="str" cm="1">
        <f t="array" aca="1" ref="O5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1" t="str" cm="1">
        <f t="array" ref="P5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1" t="str" cm="1">
        <f t="array" ref="Q5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1" t="str" cm="1">
        <f t="array" ref="R5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2" spans="1:18" x14ac:dyDescent="0.25">
      <c r="A572" s="14" t="str" cm="1">
        <f t="array" ref="A572">IF(Tasks[[#This Row],[Task]]="","","T-"&amp;TEXT(ROW()-ROW(Tasks[#Headers]),"000"))</f>
        <v/>
      </c>
      <c r="B572" s="15"/>
      <c r="C572" s="15"/>
      <c r="D572" s="15"/>
      <c r="E572" s="15"/>
      <c r="F572" s="16"/>
      <c r="G572" s="16"/>
      <c r="H572" s="16"/>
      <c r="I572" s="15"/>
      <c r="J572" s="15"/>
      <c r="K5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2" s="17" t="str">
        <f>IF(Tasks[[#This Row],[Task]]="","",IFERROR(VLOOKUP(IF(Tasks[[#This Row],[Effort]]="","M",Tasks[[#This Row],[Effort]]),EffortTable,2,FALSE),0))</f>
        <v/>
      </c>
      <c r="N572" t="str">
        <f>IF(Tasks[[#This Row],[Task]]="","",IFERROR(MATCH(Tasks[[#This Row],[Status]],{"Late","Blocked","Due soon"},0),9)*100000+N(Tasks[[#This Row],[Due]]))</f>
        <v/>
      </c>
      <c r="O572" t="str" cm="1">
        <f t="array" aca="1" ref="O5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2" t="str" cm="1">
        <f t="array" ref="P5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2" t="str" cm="1">
        <f t="array" ref="Q5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2" t="str" cm="1">
        <f t="array" ref="R5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3" spans="1:18" x14ac:dyDescent="0.25">
      <c r="A573" s="14" t="str" cm="1">
        <f t="array" ref="A573">IF(Tasks[[#This Row],[Task]]="","","T-"&amp;TEXT(ROW()-ROW(Tasks[#Headers]),"000"))</f>
        <v/>
      </c>
      <c r="B573" s="15"/>
      <c r="C573" s="15"/>
      <c r="D573" s="15"/>
      <c r="E573" s="15"/>
      <c r="F573" s="16"/>
      <c r="G573" s="16"/>
      <c r="H573" s="16"/>
      <c r="I573" s="15"/>
      <c r="J573" s="15"/>
      <c r="K5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3" s="17" t="str">
        <f>IF(Tasks[[#This Row],[Task]]="","",IFERROR(VLOOKUP(IF(Tasks[[#This Row],[Effort]]="","M",Tasks[[#This Row],[Effort]]),EffortTable,2,FALSE),0))</f>
        <v/>
      </c>
      <c r="N573" t="str">
        <f>IF(Tasks[[#This Row],[Task]]="","",IFERROR(MATCH(Tasks[[#This Row],[Status]],{"Late","Blocked","Due soon"},0),9)*100000+N(Tasks[[#This Row],[Due]]))</f>
        <v/>
      </c>
      <c r="O573" t="str" cm="1">
        <f t="array" aca="1" ref="O5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3" t="str" cm="1">
        <f t="array" ref="P5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3" t="str" cm="1">
        <f t="array" ref="Q5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3" t="str" cm="1">
        <f t="array" ref="R5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4" spans="1:18" x14ac:dyDescent="0.25">
      <c r="A574" s="14" t="str" cm="1">
        <f t="array" ref="A574">IF(Tasks[[#This Row],[Task]]="","","T-"&amp;TEXT(ROW()-ROW(Tasks[#Headers]),"000"))</f>
        <v/>
      </c>
      <c r="B574" s="15"/>
      <c r="C574" s="15"/>
      <c r="D574" s="15"/>
      <c r="E574" s="15"/>
      <c r="F574" s="16"/>
      <c r="G574" s="16"/>
      <c r="H574" s="16"/>
      <c r="I574" s="15"/>
      <c r="J574" s="15"/>
      <c r="K5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4" s="17" t="str">
        <f>IF(Tasks[[#This Row],[Task]]="","",IFERROR(VLOOKUP(IF(Tasks[[#This Row],[Effort]]="","M",Tasks[[#This Row],[Effort]]),EffortTable,2,FALSE),0))</f>
        <v/>
      </c>
      <c r="N574" t="str">
        <f>IF(Tasks[[#This Row],[Task]]="","",IFERROR(MATCH(Tasks[[#This Row],[Status]],{"Late","Blocked","Due soon"},0),9)*100000+N(Tasks[[#This Row],[Due]]))</f>
        <v/>
      </c>
      <c r="O574" t="str" cm="1">
        <f t="array" aca="1" ref="O5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4" t="str" cm="1">
        <f t="array" ref="P5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4" t="str" cm="1">
        <f t="array" ref="Q5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4" t="str" cm="1">
        <f t="array" ref="R5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5" spans="1:18" x14ac:dyDescent="0.25">
      <c r="A575" s="14" t="str" cm="1">
        <f t="array" ref="A575">IF(Tasks[[#This Row],[Task]]="","","T-"&amp;TEXT(ROW()-ROW(Tasks[#Headers]),"000"))</f>
        <v/>
      </c>
      <c r="B575" s="15"/>
      <c r="C575" s="15"/>
      <c r="D575" s="15"/>
      <c r="E575" s="15"/>
      <c r="F575" s="16"/>
      <c r="G575" s="16"/>
      <c r="H575" s="16"/>
      <c r="I575" s="15"/>
      <c r="J575" s="15"/>
      <c r="K5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5" s="17" t="str">
        <f>IF(Tasks[[#This Row],[Task]]="","",IFERROR(VLOOKUP(IF(Tasks[[#This Row],[Effort]]="","M",Tasks[[#This Row],[Effort]]),EffortTable,2,FALSE),0))</f>
        <v/>
      </c>
      <c r="N575" t="str">
        <f>IF(Tasks[[#This Row],[Task]]="","",IFERROR(MATCH(Tasks[[#This Row],[Status]],{"Late","Blocked","Due soon"},0),9)*100000+N(Tasks[[#This Row],[Due]]))</f>
        <v/>
      </c>
      <c r="O575" t="str" cm="1">
        <f t="array" aca="1" ref="O5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5" t="str" cm="1">
        <f t="array" ref="P5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5" t="str" cm="1">
        <f t="array" ref="Q5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5" t="str" cm="1">
        <f t="array" ref="R5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6" spans="1:18" x14ac:dyDescent="0.25">
      <c r="A576" s="14" t="str" cm="1">
        <f t="array" ref="A576">IF(Tasks[[#This Row],[Task]]="","","T-"&amp;TEXT(ROW()-ROW(Tasks[#Headers]),"000"))</f>
        <v/>
      </c>
      <c r="B576" s="15"/>
      <c r="C576" s="15"/>
      <c r="D576" s="15"/>
      <c r="E576" s="15"/>
      <c r="F576" s="16"/>
      <c r="G576" s="16"/>
      <c r="H576" s="16"/>
      <c r="I576" s="15"/>
      <c r="J576" s="15"/>
      <c r="K5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6" s="17" t="str">
        <f>IF(Tasks[[#This Row],[Task]]="","",IFERROR(VLOOKUP(IF(Tasks[[#This Row],[Effort]]="","M",Tasks[[#This Row],[Effort]]),EffortTable,2,FALSE),0))</f>
        <v/>
      </c>
      <c r="N576" t="str">
        <f>IF(Tasks[[#This Row],[Task]]="","",IFERROR(MATCH(Tasks[[#This Row],[Status]],{"Late","Blocked","Due soon"},0),9)*100000+N(Tasks[[#This Row],[Due]]))</f>
        <v/>
      </c>
      <c r="O576" t="str" cm="1">
        <f t="array" aca="1" ref="O5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6" t="str" cm="1">
        <f t="array" ref="P5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6" t="str" cm="1">
        <f t="array" ref="Q5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6" t="str" cm="1">
        <f t="array" ref="R5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7" spans="1:18" x14ac:dyDescent="0.25">
      <c r="A577" s="14" t="str" cm="1">
        <f t="array" ref="A577">IF(Tasks[[#This Row],[Task]]="","","T-"&amp;TEXT(ROW()-ROW(Tasks[#Headers]),"000"))</f>
        <v/>
      </c>
      <c r="B577" s="15"/>
      <c r="C577" s="15"/>
      <c r="D577" s="15"/>
      <c r="E577" s="15"/>
      <c r="F577" s="16"/>
      <c r="G577" s="16"/>
      <c r="H577" s="16"/>
      <c r="I577" s="15"/>
      <c r="J577" s="15"/>
      <c r="K5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7" s="17" t="str">
        <f>IF(Tasks[[#This Row],[Task]]="","",IFERROR(VLOOKUP(IF(Tasks[[#This Row],[Effort]]="","M",Tasks[[#This Row],[Effort]]),EffortTable,2,FALSE),0))</f>
        <v/>
      </c>
      <c r="N577" t="str">
        <f>IF(Tasks[[#This Row],[Task]]="","",IFERROR(MATCH(Tasks[[#This Row],[Status]],{"Late","Blocked","Due soon"},0),9)*100000+N(Tasks[[#This Row],[Due]]))</f>
        <v/>
      </c>
      <c r="O577" t="str" cm="1">
        <f t="array" aca="1" ref="O5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7" t="str" cm="1">
        <f t="array" ref="P5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7" t="str" cm="1">
        <f t="array" ref="Q5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7" t="str" cm="1">
        <f t="array" ref="R5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8" spans="1:18" x14ac:dyDescent="0.25">
      <c r="A578" s="14" t="str" cm="1">
        <f t="array" ref="A578">IF(Tasks[[#This Row],[Task]]="","","T-"&amp;TEXT(ROW()-ROW(Tasks[#Headers]),"000"))</f>
        <v/>
      </c>
      <c r="B578" s="15"/>
      <c r="C578" s="15"/>
      <c r="D578" s="15"/>
      <c r="E578" s="15"/>
      <c r="F578" s="16"/>
      <c r="G578" s="16"/>
      <c r="H578" s="16"/>
      <c r="I578" s="15"/>
      <c r="J578" s="15"/>
      <c r="K5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8" s="17" t="str">
        <f>IF(Tasks[[#This Row],[Task]]="","",IFERROR(VLOOKUP(IF(Tasks[[#This Row],[Effort]]="","M",Tasks[[#This Row],[Effort]]),EffortTable,2,FALSE),0))</f>
        <v/>
      </c>
      <c r="N578" t="str">
        <f>IF(Tasks[[#This Row],[Task]]="","",IFERROR(MATCH(Tasks[[#This Row],[Status]],{"Late","Blocked","Due soon"},0),9)*100000+N(Tasks[[#This Row],[Due]]))</f>
        <v/>
      </c>
      <c r="O578" t="str" cm="1">
        <f t="array" aca="1" ref="O5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8" t="str" cm="1">
        <f t="array" ref="P5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8" t="str" cm="1">
        <f t="array" ref="Q5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8" t="str" cm="1">
        <f t="array" ref="R5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79" spans="1:18" x14ac:dyDescent="0.25">
      <c r="A579" s="14" t="str" cm="1">
        <f t="array" ref="A579">IF(Tasks[[#This Row],[Task]]="","","T-"&amp;TEXT(ROW()-ROW(Tasks[#Headers]),"000"))</f>
        <v/>
      </c>
      <c r="B579" s="15"/>
      <c r="C579" s="15"/>
      <c r="D579" s="15"/>
      <c r="E579" s="15"/>
      <c r="F579" s="16"/>
      <c r="G579" s="16"/>
      <c r="H579" s="16"/>
      <c r="I579" s="15"/>
      <c r="J579" s="15"/>
      <c r="K5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79" s="17" t="str">
        <f>IF(Tasks[[#This Row],[Task]]="","",IFERROR(VLOOKUP(IF(Tasks[[#This Row],[Effort]]="","M",Tasks[[#This Row],[Effort]]),EffortTable,2,FALSE),0))</f>
        <v/>
      </c>
      <c r="N579" t="str">
        <f>IF(Tasks[[#This Row],[Task]]="","",IFERROR(MATCH(Tasks[[#This Row],[Status]],{"Late","Blocked","Due soon"},0),9)*100000+N(Tasks[[#This Row],[Due]]))</f>
        <v/>
      </c>
      <c r="O579" t="str" cm="1">
        <f t="array" aca="1" ref="O5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79" t="str" cm="1">
        <f t="array" ref="P5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79" t="str" cm="1">
        <f t="array" ref="Q5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79" t="str" cm="1">
        <f t="array" ref="R5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0" spans="1:18" x14ac:dyDescent="0.25">
      <c r="A580" s="14" t="str" cm="1">
        <f t="array" ref="A580">IF(Tasks[[#This Row],[Task]]="","","T-"&amp;TEXT(ROW()-ROW(Tasks[#Headers]),"000"))</f>
        <v/>
      </c>
      <c r="B580" s="15"/>
      <c r="C580" s="15"/>
      <c r="D580" s="15"/>
      <c r="E580" s="15"/>
      <c r="F580" s="16"/>
      <c r="G580" s="16"/>
      <c r="H580" s="16"/>
      <c r="I580" s="15"/>
      <c r="J580" s="15"/>
      <c r="K5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0" s="17" t="str">
        <f>IF(Tasks[[#This Row],[Task]]="","",IFERROR(VLOOKUP(IF(Tasks[[#This Row],[Effort]]="","M",Tasks[[#This Row],[Effort]]),EffortTable,2,FALSE),0))</f>
        <v/>
      </c>
      <c r="N580" t="str">
        <f>IF(Tasks[[#This Row],[Task]]="","",IFERROR(MATCH(Tasks[[#This Row],[Status]],{"Late","Blocked","Due soon"},0),9)*100000+N(Tasks[[#This Row],[Due]]))</f>
        <v/>
      </c>
      <c r="O580" t="str" cm="1">
        <f t="array" aca="1" ref="O5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0" t="str" cm="1">
        <f t="array" ref="P5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0" t="str" cm="1">
        <f t="array" ref="Q5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0" t="str" cm="1">
        <f t="array" ref="R5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1" spans="1:18" x14ac:dyDescent="0.25">
      <c r="A581" s="14" t="str" cm="1">
        <f t="array" ref="A581">IF(Tasks[[#This Row],[Task]]="","","T-"&amp;TEXT(ROW()-ROW(Tasks[#Headers]),"000"))</f>
        <v/>
      </c>
      <c r="B581" s="15"/>
      <c r="C581" s="15"/>
      <c r="D581" s="15"/>
      <c r="E581" s="15"/>
      <c r="F581" s="16"/>
      <c r="G581" s="16"/>
      <c r="H581" s="16"/>
      <c r="I581" s="15"/>
      <c r="J581" s="15"/>
      <c r="K5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1" s="17" t="str">
        <f>IF(Tasks[[#This Row],[Task]]="","",IFERROR(VLOOKUP(IF(Tasks[[#This Row],[Effort]]="","M",Tasks[[#This Row],[Effort]]),EffortTable,2,FALSE),0))</f>
        <v/>
      </c>
      <c r="N581" t="str">
        <f>IF(Tasks[[#This Row],[Task]]="","",IFERROR(MATCH(Tasks[[#This Row],[Status]],{"Late","Blocked","Due soon"},0),9)*100000+N(Tasks[[#This Row],[Due]]))</f>
        <v/>
      </c>
      <c r="O581" t="str" cm="1">
        <f t="array" aca="1" ref="O5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1" t="str" cm="1">
        <f t="array" ref="P5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1" t="str" cm="1">
        <f t="array" ref="Q5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1" t="str" cm="1">
        <f t="array" ref="R5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2" spans="1:18" x14ac:dyDescent="0.25">
      <c r="A582" s="14" t="str" cm="1">
        <f t="array" ref="A582">IF(Tasks[[#This Row],[Task]]="","","T-"&amp;TEXT(ROW()-ROW(Tasks[#Headers]),"000"))</f>
        <v/>
      </c>
      <c r="B582" s="15"/>
      <c r="C582" s="15"/>
      <c r="D582" s="15"/>
      <c r="E582" s="15"/>
      <c r="F582" s="16"/>
      <c r="G582" s="16"/>
      <c r="H582" s="16"/>
      <c r="I582" s="15"/>
      <c r="J582" s="15"/>
      <c r="K5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2" s="17" t="str">
        <f>IF(Tasks[[#This Row],[Task]]="","",IFERROR(VLOOKUP(IF(Tasks[[#This Row],[Effort]]="","M",Tasks[[#This Row],[Effort]]),EffortTable,2,FALSE),0))</f>
        <v/>
      </c>
      <c r="N582" t="str">
        <f>IF(Tasks[[#This Row],[Task]]="","",IFERROR(MATCH(Tasks[[#This Row],[Status]],{"Late","Blocked","Due soon"},0),9)*100000+N(Tasks[[#This Row],[Due]]))</f>
        <v/>
      </c>
      <c r="O582" t="str" cm="1">
        <f t="array" aca="1" ref="O5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2" t="str" cm="1">
        <f t="array" ref="P5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2" t="str" cm="1">
        <f t="array" ref="Q5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2" t="str" cm="1">
        <f t="array" ref="R5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3" spans="1:18" x14ac:dyDescent="0.25">
      <c r="A583" s="14" t="str" cm="1">
        <f t="array" ref="A583">IF(Tasks[[#This Row],[Task]]="","","T-"&amp;TEXT(ROW()-ROW(Tasks[#Headers]),"000"))</f>
        <v/>
      </c>
      <c r="B583" s="15"/>
      <c r="C583" s="15"/>
      <c r="D583" s="15"/>
      <c r="E583" s="15"/>
      <c r="F583" s="16"/>
      <c r="G583" s="16"/>
      <c r="H583" s="16"/>
      <c r="I583" s="15"/>
      <c r="J583" s="15"/>
      <c r="K5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3" s="17" t="str">
        <f>IF(Tasks[[#This Row],[Task]]="","",IFERROR(VLOOKUP(IF(Tasks[[#This Row],[Effort]]="","M",Tasks[[#This Row],[Effort]]),EffortTable,2,FALSE),0))</f>
        <v/>
      </c>
      <c r="N583" t="str">
        <f>IF(Tasks[[#This Row],[Task]]="","",IFERROR(MATCH(Tasks[[#This Row],[Status]],{"Late","Blocked","Due soon"},0),9)*100000+N(Tasks[[#This Row],[Due]]))</f>
        <v/>
      </c>
      <c r="O583" t="str" cm="1">
        <f t="array" aca="1" ref="O5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3" t="str" cm="1">
        <f t="array" ref="P5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3" t="str" cm="1">
        <f t="array" ref="Q5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3" t="str" cm="1">
        <f t="array" ref="R5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4" spans="1:18" x14ac:dyDescent="0.25">
      <c r="A584" s="14" t="str" cm="1">
        <f t="array" ref="A584">IF(Tasks[[#This Row],[Task]]="","","T-"&amp;TEXT(ROW()-ROW(Tasks[#Headers]),"000"))</f>
        <v/>
      </c>
      <c r="B584" s="15"/>
      <c r="C584" s="15"/>
      <c r="D584" s="15"/>
      <c r="E584" s="15"/>
      <c r="F584" s="16"/>
      <c r="G584" s="16"/>
      <c r="H584" s="16"/>
      <c r="I584" s="15"/>
      <c r="J584" s="15"/>
      <c r="K5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4" s="17" t="str">
        <f>IF(Tasks[[#This Row],[Task]]="","",IFERROR(VLOOKUP(IF(Tasks[[#This Row],[Effort]]="","M",Tasks[[#This Row],[Effort]]),EffortTable,2,FALSE),0))</f>
        <v/>
      </c>
      <c r="N584" t="str">
        <f>IF(Tasks[[#This Row],[Task]]="","",IFERROR(MATCH(Tasks[[#This Row],[Status]],{"Late","Blocked","Due soon"},0),9)*100000+N(Tasks[[#This Row],[Due]]))</f>
        <v/>
      </c>
      <c r="O584" t="str" cm="1">
        <f t="array" aca="1" ref="O5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4" t="str" cm="1">
        <f t="array" ref="P5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4" t="str" cm="1">
        <f t="array" ref="Q5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4" t="str" cm="1">
        <f t="array" ref="R5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5" spans="1:18" x14ac:dyDescent="0.25">
      <c r="A585" s="14" t="str" cm="1">
        <f t="array" ref="A585">IF(Tasks[[#This Row],[Task]]="","","T-"&amp;TEXT(ROW()-ROW(Tasks[#Headers]),"000"))</f>
        <v/>
      </c>
      <c r="B585" s="15"/>
      <c r="C585" s="15"/>
      <c r="D585" s="15"/>
      <c r="E585" s="15"/>
      <c r="F585" s="16"/>
      <c r="G585" s="16"/>
      <c r="H585" s="16"/>
      <c r="I585" s="15"/>
      <c r="J585" s="15"/>
      <c r="K5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5" s="17" t="str">
        <f>IF(Tasks[[#This Row],[Task]]="","",IFERROR(VLOOKUP(IF(Tasks[[#This Row],[Effort]]="","M",Tasks[[#This Row],[Effort]]),EffortTable,2,FALSE),0))</f>
        <v/>
      </c>
      <c r="N585" t="str">
        <f>IF(Tasks[[#This Row],[Task]]="","",IFERROR(MATCH(Tasks[[#This Row],[Status]],{"Late","Blocked","Due soon"},0),9)*100000+N(Tasks[[#This Row],[Due]]))</f>
        <v/>
      </c>
      <c r="O585" t="str" cm="1">
        <f t="array" aca="1" ref="O5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5" t="str" cm="1">
        <f t="array" ref="P5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5" t="str" cm="1">
        <f t="array" ref="Q5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5" t="str" cm="1">
        <f t="array" ref="R5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6" spans="1:18" x14ac:dyDescent="0.25">
      <c r="A586" s="14" t="str" cm="1">
        <f t="array" ref="A586">IF(Tasks[[#This Row],[Task]]="","","T-"&amp;TEXT(ROW()-ROW(Tasks[#Headers]),"000"))</f>
        <v/>
      </c>
      <c r="B586" s="15"/>
      <c r="C586" s="15"/>
      <c r="D586" s="15"/>
      <c r="E586" s="15"/>
      <c r="F586" s="16"/>
      <c r="G586" s="16"/>
      <c r="H586" s="16"/>
      <c r="I586" s="15"/>
      <c r="J586" s="15"/>
      <c r="K5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6" s="17" t="str">
        <f>IF(Tasks[[#This Row],[Task]]="","",IFERROR(VLOOKUP(IF(Tasks[[#This Row],[Effort]]="","M",Tasks[[#This Row],[Effort]]),EffortTable,2,FALSE),0))</f>
        <v/>
      </c>
      <c r="N586" t="str">
        <f>IF(Tasks[[#This Row],[Task]]="","",IFERROR(MATCH(Tasks[[#This Row],[Status]],{"Late","Blocked","Due soon"},0),9)*100000+N(Tasks[[#This Row],[Due]]))</f>
        <v/>
      </c>
      <c r="O586" t="str" cm="1">
        <f t="array" aca="1" ref="O5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6" t="str" cm="1">
        <f t="array" ref="P5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6" t="str" cm="1">
        <f t="array" ref="Q5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6" t="str" cm="1">
        <f t="array" ref="R5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7" spans="1:18" x14ac:dyDescent="0.25">
      <c r="A587" s="14" t="str" cm="1">
        <f t="array" ref="A587">IF(Tasks[[#This Row],[Task]]="","","T-"&amp;TEXT(ROW()-ROW(Tasks[#Headers]),"000"))</f>
        <v/>
      </c>
      <c r="B587" s="15"/>
      <c r="C587" s="15"/>
      <c r="D587" s="15"/>
      <c r="E587" s="15"/>
      <c r="F587" s="16"/>
      <c r="G587" s="16"/>
      <c r="H587" s="16"/>
      <c r="I587" s="15"/>
      <c r="J587" s="15"/>
      <c r="K5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7" s="17" t="str">
        <f>IF(Tasks[[#This Row],[Task]]="","",IFERROR(VLOOKUP(IF(Tasks[[#This Row],[Effort]]="","M",Tasks[[#This Row],[Effort]]),EffortTable,2,FALSE),0))</f>
        <v/>
      </c>
      <c r="N587" t="str">
        <f>IF(Tasks[[#This Row],[Task]]="","",IFERROR(MATCH(Tasks[[#This Row],[Status]],{"Late","Blocked","Due soon"},0),9)*100000+N(Tasks[[#This Row],[Due]]))</f>
        <v/>
      </c>
      <c r="O587" t="str" cm="1">
        <f t="array" aca="1" ref="O5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7" t="str" cm="1">
        <f t="array" ref="P5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7" t="str" cm="1">
        <f t="array" ref="Q5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7" t="str" cm="1">
        <f t="array" ref="R5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8" spans="1:18" x14ac:dyDescent="0.25">
      <c r="A588" s="14" t="str" cm="1">
        <f t="array" ref="A588">IF(Tasks[[#This Row],[Task]]="","","T-"&amp;TEXT(ROW()-ROW(Tasks[#Headers]),"000"))</f>
        <v/>
      </c>
      <c r="B588" s="15"/>
      <c r="C588" s="15"/>
      <c r="D588" s="15"/>
      <c r="E588" s="15"/>
      <c r="F588" s="16"/>
      <c r="G588" s="16"/>
      <c r="H588" s="16"/>
      <c r="I588" s="15"/>
      <c r="J588" s="15"/>
      <c r="K5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8" s="17" t="str">
        <f>IF(Tasks[[#This Row],[Task]]="","",IFERROR(VLOOKUP(IF(Tasks[[#This Row],[Effort]]="","M",Tasks[[#This Row],[Effort]]),EffortTable,2,FALSE),0))</f>
        <v/>
      </c>
      <c r="N588" t="str">
        <f>IF(Tasks[[#This Row],[Task]]="","",IFERROR(MATCH(Tasks[[#This Row],[Status]],{"Late","Blocked","Due soon"},0),9)*100000+N(Tasks[[#This Row],[Due]]))</f>
        <v/>
      </c>
      <c r="O588" t="str" cm="1">
        <f t="array" aca="1" ref="O5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8" t="str" cm="1">
        <f t="array" ref="P5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8" t="str" cm="1">
        <f t="array" ref="Q5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8" t="str" cm="1">
        <f t="array" ref="R5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89" spans="1:18" x14ac:dyDescent="0.25">
      <c r="A589" s="14" t="str" cm="1">
        <f t="array" ref="A589">IF(Tasks[[#This Row],[Task]]="","","T-"&amp;TEXT(ROW()-ROW(Tasks[#Headers]),"000"))</f>
        <v/>
      </c>
      <c r="B589" s="15"/>
      <c r="C589" s="15"/>
      <c r="D589" s="15"/>
      <c r="E589" s="15"/>
      <c r="F589" s="16"/>
      <c r="G589" s="16"/>
      <c r="H589" s="16"/>
      <c r="I589" s="15"/>
      <c r="J589" s="15"/>
      <c r="K5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89" s="17" t="str">
        <f>IF(Tasks[[#This Row],[Task]]="","",IFERROR(VLOOKUP(IF(Tasks[[#This Row],[Effort]]="","M",Tasks[[#This Row],[Effort]]),EffortTable,2,FALSE),0))</f>
        <v/>
      </c>
      <c r="N589" t="str">
        <f>IF(Tasks[[#This Row],[Task]]="","",IFERROR(MATCH(Tasks[[#This Row],[Status]],{"Late","Blocked","Due soon"},0),9)*100000+N(Tasks[[#This Row],[Due]]))</f>
        <v/>
      </c>
      <c r="O589" t="str" cm="1">
        <f t="array" aca="1" ref="O5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89" t="str" cm="1">
        <f t="array" ref="P5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89" t="str" cm="1">
        <f t="array" ref="Q5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89" t="str" cm="1">
        <f t="array" ref="R5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0" spans="1:18" x14ac:dyDescent="0.25">
      <c r="A590" s="14" t="str" cm="1">
        <f t="array" ref="A590">IF(Tasks[[#This Row],[Task]]="","","T-"&amp;TEXT(ROW()-ROW(Tasks[#Headers]),"000"))</f>
        <v/>
      </c>
      <c r="B590" s="15"/>
      <c r="C590" s="15"/>
      <c r="D590" s="15"/>
      <c r="E590" s="15"/>
      <c r="F590" s="16"/>
      <c r="G590" s="16"/>
      <c r="H590" s="16"/>
      <c r="I590" s="15"/>
      <c r="J590" s="15"/>
      <c r="K5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0" s="17" t="str">
        <f>IF(Tasks[[#This Row],[Task]]="","",IFERROR(VLOOKUP(IF(Tasks[[#This Row],[Effort]]="","M",Tasks[[#This Row],[Effort]]),EffortTable,2,FALSE),0))</f>
        <v/>
      </c>
      <c r="N590" t="str">
        <f>IF(Tasks[[#This Row],[Task]]="","",IFERROR(MATCH(Tasks[[#This Row],[Status]],{"Late","Blocked","Due soon"},0),9)*100000+N(Tasks[[#This Row],[Due]]))</f>
        <v/>
      </c>
      <c r="O590" t="str" cm="1">
        <f t="array" aca="1" ref="O5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0" t="str" cm="1">
        <f t="array" ref="P5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0" t="str" cm="1">
        <f t="array" ref="Q5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0" t="str" cm="1">
        <f t="array" ref="R5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1" spans="1:18" x14ac:dyDescent="0.25">
      <c r="A591" s="14" t="str" cm="1">
        <f t="array" ref="A591">IF(Tasks[[#This Row],[Task]]="","","T-"&amp;TEXT(ROW()-ROW(Tasks[#Headers]),"000"))</f>
        <v/>
      </c>
      <c r="B591" s="15"/>
      <c r="C591" s="15"/>
      <c r="D591" s="15"/>
      <c r="E591" s="15"/>
      <c r="F591" s="16"/>
      <c r="G591" s="16"/>
      <c r="H591" s="16"/>
      <c r="I591" s="15"/>
      <c r="J591" s="15"/>
      <c r="K5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1" s="17" t="str">
        <f>IF(Tasks[[#This Row],[Task]]="","",IFERROR(VLOOKUP(IF(Tasks[[#This Row],[Effort]]="","M",Tasks[[#This Row],[Effort]]),EffortTable,2,FALSE),0))</f>
        <v/>
      </c>
      <c r="N591" t="str">
        <f>IF(Tasks[[#This Row],[Task]]="","",IFERROR(MATCH(Tasks[[#This Row],[Status]],{"Late","Blocked","Due soon"},0),9)*100000+N(Tasks[[#This Row],[Due]]))</f>
        <v/>
      </c>
      <c r="O591" t="str" cm="1">
        <f t="array" aca="1" ref="O5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1" t="str" cm="1">
        <f t="array" ref="P5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1" t="str" cm="1">
        <f t="array" ref="Q5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1" t="str" cm="1">
        <f t="array" ref="R5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2" spans="1:18" x14ac:dyDescent="0.25">
      <c r="A592" s="14" t="str" cm="1">
        <f t="array" ref="A592">IF(Tasks[[#This Row],[Task]]="","","T-"&amp;TEXT(ROW()-ROW(Tasks[#Headers]),"000"))</f>
        <v/>
      </c>
      <c r="B592" s="15"/>
      <c r="C592" s="15"/>
      <c r="D592" s="15"/>
      <c r="E592" s="15"/>
      <c r="F592" s="16"/>
      <c r="G592" s="16"/>
      <c r="H592" s="16"/>
      <c r="I592" s="15"/>
      <c r="J592" s="15"/>
      <c r="K5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2" s="17" t="str">
        <f>IF(Tasks[[#This Row],[Task]]="","",IFERROR(VLOOKUP(IF(Tasks[[#This Row],[Effort]]="","M",Tasks[[#This Row],[Effort]]),EffortTable,2,FALSE),0))</f>
        <v/>
      </c>
      <c r="N592" t="str">
        <f>IF(Tasks[[#This Row],[Task]]="","",IFERROR(MATCH(Tasks[[#This Row],[Status]],{"Late","Blocked","Due soon"},0),9)*100000+N(Tasks[[#This Row],[Due]]))</f>
        <v/>
      </c>
      <c r="O592" t="str" cm="1">
        <f t="array" aca="1" ref="O5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2" t="str" cm="1">
        <f t="array" ref="P5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2" t="str" cm="1">
        <f t="array" ref="Q5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2" t="str" cm="1">
        <f t="array" ref="R5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3" spans="1:18" x14ac:dyDescent="0.25">
      <c r="A593" s="14" t="str" cm="1">
        <f t="array" ref="A593">IF(Tasks[[#This Row],[Task]]="","","T-"&amp;TEXT(ROW()-ROW(Tasks[#Headers]),"000"))</f>
        <v/>
      </c>
      <c r="B593" s="15"/>
      <c r="C593" s="15"/>
      <c r="D593" s="15"/>
      <c r="E593" s="15"/>
      <c r="F593" s="16"/>
      <c r="G593" s="16"/>
      <c r="H593" s="16"/>
      <c r="I593" s="15"/>
      <c r="J593" s="15"/>
      <c r="K5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3" s="17" t="str">
        <f>IF(Tasks[[#This Row],[Task]]="","",IFERROR(VLOOKUP(IF(Tasks[[#This Row],[Effort]]="","M",Tasks[[#This Row],[Effort]]),EffortTable,2,FALSE),0))</f>
        <v/>
      </c>
      <c r="N593" t="str">
        <f>IF(Tasks[[#This Row],[Task]]="","",IFERROR(MATCH(Tasks[[#This Row],[Status]],{"Late","Blocked","Due soon"},0),9)*100000+N(Tasks[[#This Row],[Due]]))</f>
        <v/>
      </c>
      <c r="O593" t="str" cm="1">
        <f t="array" aca="1" ref="O5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3" t="str" cm="1">
        <f t="array" ref="P5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3" t="str" cm="1">
        <f t="array" ref="Q5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3" t="str" cm="1">
        <f t="array" ref="R5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4" spans="1:18" x14ac:dyDescent="0.25">
      <c r="A594" s="14" t="str" cm="1">
        <f t="array" ref="A594">IF(Tasks[[#This Row],[Task]]="","","T-"&amp;TEXT(ROW()-ROW(Tasks[#Headers]),"000"))</f>
        <v/>
      </c>
      <c r="B594" s="15"/>
      <c r="C594" s="15"/>
      <c r="D594" s="15"/>
      <c r="E594" s="15"/>
      <c r="F594" s="16"/>
      <c r="G594" s="16"/>
      <c r="H594" s="16"/>
      <c r="I594" s="15"/>
      <c r="J594" s="15"/>
      <c r="K5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4" s="17" t="str">
        <f>IF(Tasks[[#This Row],[Task]]="","",IFERROR(VLOOKUP(IF(Tasks[[#This Row],[Effort]]="","M",Tasks[[#This Row],[Effort]]),EffortTable,2,FALSE),0))</f>
        <v/>
      </c>
      <c r="N594" t="str">
        <f>IF(Tasks[[#This Row],[Task]]="","",IFERROR(MATCH(Tasks[[#This Row],[Status]],{"Late","Blocked","Due soon"},0),9)*100000+N(Tasks[[#This Row],[Due]]))</f>
        <v/>
      </c>
      <c r="O594" t="str" cm="1">
        <f t="array" aca="1" ref="O5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4" t="str" cm="1">
        <f t="array" ref="P5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4" t="str" cm="1">
        <f t="array" ref="Q5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4" t="str" cm="1">
        <f t="array" ref="R5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5" spans="1:18" x14ac:dyDescent="0.25">
      <c r="A595" s="14" t="str" cm="1">
        <f t="array" ref="A595">IF(Tasks[[#This Row],[Task]]="","","T-"&amp;TEXT(ROW()-ROW(Tasks[#Headers]),"000"))</f>
        <v/>
      </c>
      <c r="B595" s="15"/>
      <c r="C595" s="15"/>
      <c r="D595" s="15"/>
      <c r="E595" s="15"/>
      <c r="F595" s="16"/>
      <c r="G595" s="16"/>
      <c r="H595" s="16"/>
      <c r="I595" s="15"/>
      <c r="J595" s="15"/>
      <c r="K5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5" s="17" t="str">
        <f>IF(Tasks[[#This Row],[Task]]="","",IFERROR(VLOOKUP(IF(Tasks[[#This Row],[Effort]]="","M",Tasks[[#This Row],[Effort]]),EffortTable,2,FALSE),0))</f>
        <v/>
      </c>
      <c r="N595" t="str">
        <f>IF(Tasks[[#This Row],[Task]]="","",IFERROR(MATCH(Tasks[[#This Row],[Status]],{"Late","Blocked","Due soon"},0),9)*100000+N(Tasks[[#This Row],[Due]]))</f>
        <v/>
      </c>
      <c r="O595" t="str" cm="1">
        <f t="array" aca="1" ref="O5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5" t="str" cm="1">
        <f t="array" ref="P5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5" t="str" cm="1">
        <f t="array" ref="Q5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5" t="str" cm="1">
        <f t="array" ref="R5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6" spans="1:18" x14ac:dyDescent="0.25">
      <c r="A596" s="14" t="str" cm="1">
        <f t="array" ref="A596">IF(Tasks[[#This Row],[Task]]="","","T-"&amp;TEXT(ROW()-ROW(Tasks[#Headers]),"000"))</f>
        <v/>
      </c>
      <c r="B596" s="15"/>
      <c r="C596" s="15"/>
      <c r="D596" s="15"/>
      <c r="E596" s="15"/>
      <c r="F596" s="16"/>
      <c r="G596" s="16"/>
      <c r="H596" s="16"/>
      <c r="I596" s="15"/>
      <c r="J596" s="15"/>
      <c r="K5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6" s="17" t="str">
        <f>IF(Tasks[[#This Row],[Task]]="","",IFERROR(VLOOKUP(IF(Tasks[[#This Row],[Effort]]="","M",Tasks[[#This Row],[Effort]]),EffortTable,2,FALSE),0))</f>
        <v/>
      </c>
      <c r="N596" t="str">
        <f>IF(Tasks[[#This Row],[Task]]="","",IFERROR(MATCH(Tasks[[#This Row],[Status]],{"Late","Blocked","Due soon"},0),9)*100000+N(Tasks[[#This Row],[Due]]))</f>
        <v/>
      </c>
      <c r="O596" t="str" cm="1">
        <f t="array" aca="1" ref="O5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6" t="str" cm="1">
        <f t="array" ref="P5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6" t="str" cm="1">
        <f t="array" ref="Q5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6" t="str" cm="1">
        <f t="array" ref="R5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7" spans="1:18" x14ac:dyDescent="0.25">
      <c r="A597" s="14" t="str" cm="1">
        <f t="array" ref="A597">IF(Tasks[[#This Row],[Task]]="","","T-"&amp;TEXT(ROW()-ROW(Tasks[#Headers]),"000"))</f>
        <v/>
      </c>
      <c r="B597" s="15"/>
      <c r="C597" s="15"/>
      <c r="D597" s="15"/>
      <c r="E597" s="15"/>
      <c r="F597" s="16"/>
      <c r="G597" s="16"/>
      <c r="H597" s="16"/>
      <c r="I597" s="15"/>
      <c r="J597" s="15"/>
      <c r="K5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7" s="17" t="str">
        <f>IF(Tasks[[#This Row],[Task]]="","",IFERROR(VLOOKUP(IF(Tasks[[#This Row],[Effort]]="","M",Tasks[[#This Row],[Effort]]),EffortTable,2,FALSE),0))</f>
        <v/>
      </c>
      <c r="N597" t="str">
        <f>IF(Tasks[[#This Row],[Task]]="","",IFERROR(MATCH(Tasks[[#This Row],[Status]],{"Late","Blocked","Due soon"},0),9)*100000+N(Tasks[[#This Row],[Due]]))</f>
        <v/>
      </c>
      <c r="O597" t="str" cm="1">
        <f t="array" aca="1" ref="O5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7" t="str" cm="1">
        <f t="array" ref="P5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7" t="str" cm="1">
        <f t="array" ref="Q5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7" t="str" cm="1">
        <f t="array" ref="R5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8" spans="1:18" x14ac:dyDescent="0.25">
      <c r="A598" s="14" t="str" cm="1">
        <f t="array" ref="A598">IF(Tasks[[#This Row],[Task]]="","","T-"&amp;TEXT(ROW()-ROW(Tasks[#Headers]),"000"))</f>
        <v/>
      </c>
      <c r="B598" s="15"/>
      <c r="C598" s="15"/>
      <c r="D598" s="15"/>
      <c r="E598" s="15"/>
      <c r="F598" s="16"/>
      <c r="G598" s="16"/>
      <c r="H598" s="16"/>
      <c r="I598" s="15"/>
      <c r="J598" s="15"/>
      <c r="K5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8" s="17" t="str">
        <f>IF(Tasks[[#This Row],[Task]]="","",IFERROR(VLOOKUP(IF(Tasks[[#This Row],[Effort]]="","M",Tasks[[#This Row],[Effort]]),EffortTable,2,FALSE),0))</f>
        <v/>
      </c>
      <c r="N598" t="str">
        <f>IF(Tasks[[#This Row],[Task]]="","",IFERROR(MATCH(Tasks[[#This Row],[Status]],{"Late","Blocked","Due soon"},0),9)*100000+N(Tasks[[#This Row],[Due]]))</f>
        <v/>
      </c>
      <c r="O598" t="str" cm="1">
        <f t="array" aca="1" ref="O5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8" t="str" cm="1">
        <f t="array" ref="P5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8" t="str" cm="1">
        <f t="array" ref="Q5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8" t="str" cm="1">
        <f t="array" ref="R5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599" spans="1:18" x14ac:dyDescent="0.25">
      <c r="A599" s="14" t="str" cm="1">
        <f t="array" ref="A599">IF(Tasks[[#This Row],[Task]]="","","T-"&amp;TEXT(ROW()-ROW(Tasks[#Headers]),"000"))</f>
        <v/>
      </c>
      <c r="B599" s="15"/>
      <c r="C599" s="15"/>
      <c r="D599" s="15"/>
      <c r="E599" s="15"/>
      <c r="F599" s="16"/>
      <c r="G599" s="16"/>
      <c r="H599" s="16"/>
      <c r="I599" s="15"/>
      <c r="J599" s="15"/>
      <c r="K5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5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599" s="17" t="str">
        <f>IF(Tasks[[#This Row],[Task]]="","",IFERROR(VLOOKUP(IF(Tasks[[#This Row],[Effort]]="","M",Tasks[[#This Row],[Effort]]),EffortTable,2,FALSE),0))</f>
        <v/>
      </c>
      <c r="N599" t="str">
        <f>IF(Tasks[[#This Row],[Task]]="","",IFERROR(MATCH(Tasks[[#This Row],[Status]],{"Late","Blocked","Due soon"},0),9)*100000+N(Tasks[[#This Row],[Due]]))</f>
        <v/>
      </c>
      <c r="O599" t="str" cm="1">
        <f t="array" aca="1" ref="O5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599" t="str" cm="1">
        <f t="array" ref="P5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599" t="str" cm="1">
        <f t="array" ref="Q5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599" t="str" cm="1">
        <f t="array" ref="R5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0" spans="1:18" x14ac:dyDescent="0.25">
      <c r="A600" s="14" t="str" cm="1">
        <f t="array" ref="A600">IF(Tasks[[#This Row],[Task]]="","","T-"&amp;TEXT(ROW()-ROW(Tasks[#Headers]),"000"))</f>
        <v/>
      </c>
      <c r="B600" s="15"/>
      <c r="C600" s="15"/>
      <c r="D600" s="15"/>
      <c r="E600" s="15"/>
      <c r="F600" s="16"/>
      <c r="G600" s="16"/>
      <c r="H600" s="16"/>
      <c r="I600" s="15"/>
      <c r="J600" s="15"/>
      <c r="K6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0" s="17" t="str">
        <f>IF(Tasks[[#This Row],[Task]]="","",IFERROR(VLOOKUP(IF(Tasks[[#This Row],[Effort]]="","M",Tasks[[#This Row],[Effort]]),EffortTable,2,FALSE),0))</f>
        <v/>
      </c>
      <c r="N600" t="str">
        <f>IF(Tasks[[#This Row],[Task]]="","",IFERROR(MATCH(Tasks[[#This Row],[Status]],{"Late","Blocked","Due soon"},0),9)*100000+N(Tasks[[#This Row],[Due]]))</f>
        <v/>
      </c>
      <c r="O600" t="str" cm="1">
        <f t="array" aca="1" ref="O6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0" t="str" cm="1">
        <f t="array" ref="P6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0" t="str" cm="1">
        <f t="array" ref="Q6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0" t="str" cm="1">
        <f t="array" ref="R6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1" spans="1:18" x14ac:dyDescent="0.25">
      <c r="A601" s="14" t="str" cm="1">
        <f t="array" ref="A601">IF(Tasks[[#This Row],[Task]]="","","T-"&amp;TEXT(ROW()-ROW(Tasks[#Headers]),"000"))</f>
        <v/>
      </c>
      <c r="B601" s="15"/>
      <c r="C601" s="15"/>
      <c r="D601" s="15"/>
      <c r="E601" s="15"/>
      <c r="F601" s="16"/>
      <c r="G601" s="16"/>
      <c r="H601" s="16"/>
      <c r="I601" s="15"/>
      <c r="J601" s="15"/>
      <c r="K6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1" s="17" t="str">
        <f>IF(Tasks[[#This Row],[Task]]="","",IFERROR(VLOOKUP(IF(Tasks[[#This Row],[Effort]]="","M",Tasks[[#This Row],[Effort]]),EffortTable,2,FALSE),0))</f>
        <v/>
      </c>
      <c r="N601" t="str">
        <f>IF(Tasks[[#This Row],[Task]]="","",IFERROR(MATCH(Tasks[[#This Row],[Status]],{"Late","Blocked","Due soon"},0),9)*100000+N(Tasks[[#This Row],[Due]]))</f>
        <v/>
      </c>
      <c r="O601" t="str" cm="1">
        <f t="array" aca="1" ref="O6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1" t="str" cm="1">
        <f t="array" ref="P6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1" t="str" cm="1">
        <f t="array" ref="Q6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1" t="str" cm="1">
        <f t="array" ref="R6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2" spans="1:18" x14ac:dyDescent="0.25">
      <c r="A602" s="14" t="str" cm="1">
        <f t="array" ref="A602">IF(Tasks[[#This Row],[Task]]="","","T-"&amp;TEXT(ROW()-ROW(Tasks[#Headers]),"000"))</f>
        <v/>
      </c>
      <c r="B602" s="15"/>
      <c r="C602" s="15"/>
      <c r="D602" s="15"/>
      <c r="E602" s="15"/>
      <c r="F602" s="16"/>
      <c r="G602" s="16"/>
      <c r="H602" s="16"/>
      <c r="I602" s="15"/>
      <c r="J602" s="15"/>
      <c r="K6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2" s="17" t="str">
        <f>IF(Tasks[[#This Row],[Task]]="","",IFERROR(VLOOKUP(IF(Tasks[[#This Row],[Effort]]="","M",Tasks[[#This Row],[Effort]]),EffortTable,2,FALSE),0))</f>
        <v/>
      </c>
      <c r="N602" t="str">
        <f>IF(Tasks[[#This Row],[Task]]="","",IFERROR(MATCH(Tasks[[#This Row],[Status]],{"Late","Blocked","Due soon"},0),9)*100000+N(Tasks[[#This Row],[Due]]))</f>
        <v/>
      </c>
      <c r="O602" t="str" cm="1">
        <f t="array" aca="1" ref="O6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2" t="str" cm="1">
        <f t="array" ref="P6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2" t="str" cm="1">
        <f t="array" ref="Q6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2" t="str" cm="1">
        <f t="array" ref="R6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3" spans="1:18" x14ac:dyDescent="0.25">
      <c r="A603" s="14" t="str" cm="1">
        <f t="array" ref="A603">IF(Tasks[[#This Row],[Task]]="","","T-"&amp;TEXT(ROW()-ROW(Tasks[#Headers]),"000"))</f>
        <v/>
      </c>
      <c r="B603" s="15"/>
      <c r="C603" s="15"/>
      <c r="D603" s="15"/>
      <c r="E603" s="15"/>
      <c r="F603" s="16"/>
      <c r="G603" s="16"/>
      <c r="H603" s="16"/>
      <c r="I603" s="15"/>
      <c r="J603" s="15"/>
      <c r="K6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3" s="17" t="str">
        <f>IF(Tasks[[#This Row],[Task]]="","",IFERROR(VLOOKUP(IF(Tasks[[#This Row],[Effort]]="","M",Tasks[[#This Row],[Effort]]),EffortTable,2,FALSE),0))</f>
        <v/>
      </c>
      <c r="N603" t="str">
        <f>IF(Tasks[[#This Row],[Task]]="","",IFERROR(MATCH(Tasks[[#This Row],[Status]],{"Late","Blocked","Due soon"},0),9)*100000+N(Tasks[[#This Row],[Due]]))</f>
        <v/>
      </c>
      <c r="O603" t="str" cm="1">
        <f t="array" aca="1" ref="O6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3" t="str" cm="1">
        <f t="array" ref="P6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3" t="str" cm="1">
        <f t="array" ref="Q6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3" t="str" cm="1">
        <f t="array" ref="R6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4" spans="1:18" x14ac:dyDescent="0.25">
      <c r="A604" s="14" t="str" cm="1">
        <f t="array" ref="A604">IF(Tasks[[#This Row],[Task]]="","","T-"&amp;TEXT(ROW()-ROW(Tasks[#Headers]),"000"))</f>
        <v/>
      </c>
      <c r="B604" s="15"/>
      <c r="C604" s="15"/>
      <c r="D604" s="15"/>
      <c r="E604" s="15"/>
      <c r="F604" s="16"/>
      <c r="G604" s="16"/>
      <c r="H604" s="16"/>
      <c r="I604" s="15"/>
      <c r="J604" s="15"/>
      <c r="K6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4" s="17" t="str">
        <f>IF(Tasks[[#This Row],[Task]]="","",IFERROR(VLOOKUP(IF(Tasks[[#This Row],[Effort]]="","M",Tasks[[#This Row],[Effort]]),EffortTable,2,FALSE),0))</f>
        <v/>
      </c>
      <c r="N604" t="str">
        <f>IF(Tasks[[#This Row],[Task]]="","",IFERROR(MATCH(Tasks[[#This Row],[Status]],{"Late","Blocked","Due soon"},0),9)*100000+N(Tasks[[#This Row],[Due]]))</f>
        <v/>
      </c>
      <c r="O604" t="str" cm="1">
        <f t="array" aca="1" ref="O6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4" t="str" cm="1">
        <f t="array" ref="P6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4" t="str" cm="1">
        <f t="array" ref="Q6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4" t="str" cm="1">
        <f t="array" ref="R6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5" spans="1:18" x14ac:dyDescent="0.25">
      <c r="A605" s="14" t="str" cm="1">
        <f t="array" ref="A605">IF(Tasks[[#This Row],[Task]]="","","T-"&amp;TEXT(ROW()-ROW(Tasks[#Headers]),"000"))</f>
        <v/>
      </c>
      <c r="B605" s="15"/>
      <c r="C605" s="15"/>
      <c r="D605" s="15"/>
      <c r="E605" s="15"/>
      <c r="F605" s="16"/>
      <c r="G605" s="16"/>
      <c r="H605" s="16"/>
      <c r="I605" s="15"/>
      <c r="J605" s="15"/>
      <c r="K6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5" s="17" t="str">
        <f>IF(Tasks[[#This Row],[Task]]="","",IFERROR(VLOOKUP(IF(Tasks[[#This Row],[Effort]]="","M",Tasks[[#This Row],[Effort]]),EffortTable,2,FALSE),0))</f>
        <v/>
      </c>
      <c r="N605" t="str">
        <f>IF(Tasks[[#This Row],[Task]]="","",IFERROR(MATCH(Tasks[[#This Row],[Status]],{"Late","Blocked","Due soon"},0),9)*100000+N(Tasks[[#This Row],[Due]]))</f>
        <v/>
      </c>
      <c r="O605" t="str" cm="1">
        <f t="array" aca="1" ref="O6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5" t="str" cm="1">
        <f t="array" ref="P6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5" t="str" cm="1">
        <f t="array" ref="Q6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5" t="str" cm="1">
        <f t="array" ref="R6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6" spans="1:18" x14ac:dyDescent="0.25">
      <c r="A606" s="14" t="str" cm="1">
        <f t="array" ref="A606">IF(Tasks[[#This Row],[Task]]="","","T-"&amp;TEXT(ROW()-ROW(Tasks[#Headers]),"000"))</f>
        <v/>
      </c>
      <c r="B606" s="15"/>
      <c r="C606" s="15"/>
      <c r="D606" s="15"/>
      <c r="E606" s="15"/>
      <c r="F606" s="16"/>
      <c r="G606" s="16"/>
      <c r="H606" s="16"/>
      <c r="I606" s="15"/>
      <c r="J606" s="15"/>
      <c r="K6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6" s="17" t="str">
        <f>IF(Tasks[[#This Row],[Task]]="","",IFERROR(VLOOKUP(IF(Tasks[[#This Row],[Effort]]="","M",Tasks[[#This Row],[Effort]]),EffortTable,2,FALSE),0))</f>
        <v/>
      </c>
      <c r="N606" t="str">
        <f>IF(Tasks[[#This Row],[Task]]="","",IFERROR(MATCH(Tasks[[#This Row],[Status]],{"Late","Blocked","Due soon"},0),9)*100000+N(Tasks[[#This Row],[Due]]))</f>
        <v/>
      </c>
      <c r="O606" t="str" cm="1">
        <f t="array" aca="1" ref="O6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6" t="str" cm="1">
        <f t="array" ref="P6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6" t="str" cm="1">
        <f t="array" ref="Q6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6" t="str" cm="1">
        <f t="array" ref="R6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7" spans="1:18" x14ac:dyDescent="0.25">
      <c r="A607" s="14" t="str" cm="1">
        <f t="array" ref="A607">IF(Tasks[[#This Row],[Task]]="","","T-"&amp;TEXT(ROW()-ROW(Tasks[#Headers]),"000"))</f>
        <v/>
      </c>
      <c r="B607" s="15"/>
      <c r="C607" s="15"/>
      <c r="D607" s="15"/>
      <c r="E607" s="15"/>
      <c r="F607" s="16"/>
      <c r="G607" s="16"/>
      <c r="H607" s="16"/>
      <c r="I607" s="15"/>
      <c r="J607" s="15"/>
      <c r="K6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7" s="17" t="str">
        <f>IF(Tasks[[#This Row],[Task]]="","",IFERROR(VLOOKUP(IF(Tasks[[#This Row],[Effort]]="","M",Tasks[[#This Row],[Effort]]),EffortTable,2,FALSE),0))</f>
        <v/>
      </c>
      <c r="N607" t="str">
        <f>IF(Tasks[[#This Row],[Task]]="","",IFERROR(MATCH(Tasks[[#This Row],[Status]],{"Late","Blocked","Due soon"},0),9)*100000+N(Tasks[[#This Row],[Due]]))</f>
        <v/>
      </c>
      <c r="O607" t="str" cm="1">
        <f t="array" aca="1" ref="O6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7" t="str" cm="1">
        <f t="array" ref="P6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7" t="str" cm="1">
        <f t="array" ref="Q6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7" t="str" cm="1">
        <f t="array" ref="R6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8" spans="1:18" x14ac:dyDescent="0.25">
      <c r="A608" s="14" t="str" cm="1">
        <f t="array" ref="A608">IF(Tasks[[#This Row],[Task]]="","","T-"&amp;TEXT(ROW()-ROW(Tasks[#Headers]),"000"))</f>
        <v/>
      </c>
      <c r="B608" s="15"/>
      <c r="C608" s="15"/>
      <c r="D608" s="15"/>
      <c r="E608" s="15"/>
      <c r="F608" s="16"/>
      <c r="G608" s="16"/>
      <c r="H608" s="16"/>
      <c r="I608" s="15"/>
      <c r="J608" s="15"/>
      <c r="K6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8" s="17" t="str">
        <f>IF(Tasks[[#This Row],[Task]]="","",IFERROR(VLOOKUP(IF(Tasks[[#This Row],[Effort]]="","M",Tasks[[#This Row],[Effort]]),EffortTable,2,FALSE),0))</f>
        <v/>
      </c>
      <c r="N608" t="str">
        <f>IF(Tasks[[#This Row],[Task]]="","",IFERROR(MATCH(Tasks[[#This Row],[Status]],{"Late","Blocked","Due soon"},0),9)*100000+N(Tasks[[#This Row],[Due]]))</f>
        <v/>
      </c>
      <c r="O608" t="str" cm="1">
        <f t="array" aca="1" ref="O6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8" t="str" cm="1">
        <f t="array" ref="P6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8" t="str" cm="1">
        <f t="array" ref="Q6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8" t="str" cm="1">
        <f t="array" ref="R6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09" spans="1:18" x14ac:dyDescent="0.25">
      <c r="A609" s="14" t="str" cm="1">
        <f t="array" ref="A609">IF(Tasks[[#This Row],[Task]]="","","T-"&amp;TEXT(ROW()-ROW(Tasks[#Headers]),"000"))</f>
        <v/>
      </c>
      <c r="B609" s="15"/>
      <c r="C609" s="15"/>
      <c r="D609" s="15"/>
      <c r="E609" s="15"/>
      <c r="F609" s="16"/>
      <c r="G609" s="16"/>
      <c r="H609" s="16"/>
      <c r="I609" s="15"/>
      <c r="J609" s="15"/>
      <c r="K6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09" s="17" t="str">
        <f>IF(Tasks[[#This Row],[Task]]="","",IFERROR(VLOOKUP(IF(Tasks[[#This Row],[Effort]]="","M",Tasks[[#This Row],[Effort]]),EffortTable,2,FALSE),0))</f>
        <v/>
      </c>
      <c r="N609" t="str">
        <f>IF(Tasks[[#This Row],[Task]]="","",IFERROR(MATCH(Tasks[[#This Row],[Status]],{"Late","Blocked","Due soon"},0),9)*100000+N(Tasks[[#This Row],[Due]]))</f>
        <v/>
      </c>
      <c r="O609" t="str" cm="1">
        <f t="array" aca="1" ref="O6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09" t="str" cm="1">
        <f t="array" ref="P6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09" t="str" cm="1">
        <f t="array" ref="Q6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09" t="str" cm="1">
        <f t="array" ref="R6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0" spans="1:18" x14ac:dyDescent="0.25">
      <c r="A610" s="14" t="str" cm="1">
        <f t="array" ref="A610">IF(Tasks[[#This Row],[Task]]="","","T-"&amp;TEXT(ROW()-ROW(Tasks[#Headers]),"000"))</f>
        <v/>
      </c>
      <c r="B610" s="15"/>
      <c r="C610" s="15"/>
      <c r="D610" s="15"/>
      <c r="E610" s="15"/>
      <c r="F610" s="16"/>
      <c r="G610" s="16"/>
      <c r="H610" s="16"/>
      <c r="I610" s="15"/>
      <c r="J610" s="15"/>
      <c r="K6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0" s="17" t="str">
        <f>IF(Tasks[[#This Row],[Task]]="","",IFERROR(VLOOKUP(IF(Tasks[[#This Row],[Effort]]="","M",Tasks[[#This Row],[Effort]]),EffortTable,2,FALSE),0))</f>
        <v/>
      </c>
      <c r="N610" t="str">
        <f>IF(Tasks[[#This Row],[Task]]="","",IFERROR(MATCH(Tasks[[#This Row],[Status]],{"Late","Blocked","Due soon"},0),9)*100000+N(Tasks[[#This Row],[Due]]))</f>
        <v/>
      </c>
      <c r="O610" t="str" cm="1">
        <f t="array" aca="1" ref="O6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0" t="str" cm="1">
        <f t="array" ref="P6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0" t="str" cm="1">
        <f t="array" ref="Q6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0" t="str" cm="1">
        <f t="array" ref="R6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1" spans="1:18" x14ac:dyDescent="0.25">
      <c r="A611" s="14" t="str" cm="1">
        <f t="array" ref="A611">IF(Tasks[[#This Row],[Task]]="","","T-"&amp;TEXT(ROW()-ROW(Tasks[#Headers]),"000"))</f>
        <v/>
      </c>
      <c r="B611" s="15"/>
      <c r="C611" s="15"/>
      <c r="D611" s="15"/>
      <c r="E611" s="15"/>
      <c r="F611" s="16"/>
      <c r="G611" s="16"/>
      <c r="H611" s="16"/>
      <c r="I611" s="15"/>
      <c r="J611" s="15"/>
      <c r="K6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1" s="17" t="str">
        <f>IF(Tasks[[#This Row],[Task]]="","",IFERROR(VLOOKUP(IF(Tasks[[#This Row],[Effort]]="","M",Tasks[[#This Row],[Effort]]),EffortTable,2,FALSE),0))</f>
        <v/>
      </c>
      <c r="N611" t="str">
        <f>IF(Tasks[[#This Row],[Task]]="","",IFERROR(MATCH(Tasks[[#This Row],[Status]],{"Late","Blocked","Due soon"},0),9)*100000+N(Tasks[[#This Row],[Due]]))</f>
        <v/>
      </c>
      <c r="O611" t="str" cm="1">
        <f t="array" aca="1" ref="O6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1" t="str" cm="1">
        <f t="array" ref="P6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1" t="str" cm="1">
        <f t="array" ref="Q6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1" t="str" cm="1">
        <f t="array" ref="R6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2" spans="1:18" x14ac:dyDescent="0.25">
      <c r="A612" s="14" t="str" cm="1">
        <f t="array" ref="A612">IF(Tasks[[#This Row],[Task]]="","","T-"&amp;TEXT(ROW()-ROW(Tasks[#Headers]),"000"))</f>
        <v/>
      </c>
      <c r="B612" s="15"/>
      <c r="C612" s="15"/>
      <c r="D612" s="15"/>
      <c r="E612" s="15"/>
      <c r="F612" s="16"/>
      <c r="G612" s="16"/>
      <c r="H612" s="16"/>
      <c r="I612" s="15"/>
      <c r="J612" s="15"/>
      <c r="K6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2" s="17" t="str">
        <f>IF(Tasks[[#This Row],[Task]]="","",IFERROR(VLOOKUP(IF(Tasks[[#This Row],[Effort]]="","M",Tasks[[#This Row],[Effort]]),EffortTable,2,FALSE),0))</f>
        <v/>
      </c>
      <c r="N612" t="str">
        <f>IF(Tasks[[#This Row],[Task]]="","",IFERROR(MATCH(Tasks[[#This Row],[Status]],{"Late","Blocked","Due soon"},0),9)*100000+N(Tasks[[#This Row],[Due]]))</f>
        <v/>
      </c>
      <c r="O612" t="str" cm="1">
        <f t="array" aca="1" ref="O6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2" t="str" cm="1">
        <f t="array" ref="P6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2" t="str" cm="1">
        <f t="array" ref="Q6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2" t="str" cm="1">
        <f t="array" ref="R6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3" spans="1:18" x14ac:dyDescent="0.25">
      <c r="A613" s="14" t="str" cm="1">
        <f t="array" ref="A613">IF(Tasks[[#This Row],[Task]]="","","T-"&amp;TEXT(ROW()-ROW(Tasks[#Headers]),"000"))</f>
        <v/>
      </c>
      <c r="B613" s="15"/>
      <c r="C613" s="15"/>
      <c r="D613" s="15"/>
      <c r="E613" s="15"/>
      <c r="F613" s="16"/>
      <c r="G613" s="16"/>
      <c r="H613" s="16"/>
      <c r="I613" s="15"/>
      <c r="J613" s="15"/>
      <c r="K6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3" s="17" t="str">
        <f>IF(Tasks[[#This Row],[Task]]="","",IFERROR(VLOOKUP(IF(Tasks[[#This Row],[Effort]]="","M",Tasks[[#This Row],[Effort]]),EffortTable,2,FALSE),0))</f>
        <v/>
      </c>
      <c r="N613" t="str">
        <f>IF(Tasks[[#This Row],[Task]]="","",IFERROR(MATCH(Tasks[[#This Row],[Status]],{"Late","Blocked","Due soon"},0),9)*100000+N(Tasks[[#This Row],[Due]]))</f>
        <v/>
      </c>
      <c r="O613" t="str" cm="1">
        <f t="array" aca="1" ref="O6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3" t="str" cm="1">
        <f t="array" ref="P6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3" t="str" cm="1">
        <f t="array" ref="Q6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3" t="str" cm="1">
        <f t="array" ref="R6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4" spans="1:18" x14ac:dyDescent="0.25">
      <c r="A614" s="14" t="str" cm="1">
        <f t="array" ref="A614">IF(Tasks[[#This Row],[Task]]="","","T-"&amp;TEXT(ROW()-ROW(Tasks[#Headers]),"000"))</f>
        <v/>
      </c>
      <c r="B614" s="15"/>
      <c r="C614" s="15"/>
      <c r="D614" s="15"/>
      <c r="E614" s="15"/>
      <c r="F614" s="16"/>
      <c r="G614" s="16"/>
      <c r="H614" s="16"/>
      <c r="I614" s="15"/>
      <c r="J614" s="15"/>
      <c r="K6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4" s="17" t="str">
        <f>IF(Tasks[[#This Row],[Task]]="","",IFERROR(VLOOKUP(IF(Tasks[[#This Row],[Effort]]="","M",Tasks[[#This Row],[Effort]]),EffortTable,2,FALSE),0))</f>
        <v/>
      </c>
      <c r="N614" t="str">
        <f>IF(Tasks[[#This Row],[Task]]="","",IFERROR(MATCH(Tasks[[#This Row],[Status]],{"Late","Blocked","Due soon"},0),9)*100000+N(Tasks[[#This Row],[Due]]))</f>
        <v/>
      </c>
      <c r="O614" t="str" cm="1">
        <f t="array" aca="1" ref="O6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4" t="str" cm="1">
        <f t="array" ref="P6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4" t="str" cm="1">
        <f t="array" ref="Q6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4" t="str" cm="1">
        <f t="array" ref="R6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5" spans="1:18" x14ac:dyDescent="0.25">
      <c r="A615" s="14" t="str" cm="1">
        <f t="array" ref="A615">IF(Tasks[[#This Row],[Task]]="","","T-"&amp;TEXT(ROW()-ROW(Tasks[#Headers]),"000"))</f>
        <v/>
      </c>
      <c r="B615" s="15"/>
      <c r="C615" s="15"/>
      <c r="D615" s="15"/>
      <c r="E615" s="15"/>
      <c r="F615" s="16"/>
      <c r="G615" s="16"/>
      <c r="H615" s="16"/>
      <c r="I615" s="15"/>
      <c r="J615" s="15"/>
      <c r="K6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5" s="17" t="str">
        <f>IF(Tasks[[#This Row],[Task]]="","",IFERROR(VLOOKUP(IF(Tasks[[#This Row],[Effort]]="","M",Tasks[[#This Row],[Effort]]),EffortTable,2,FALSE),0))</f>
        <v/>
      </c>
      <c r="N615" t="str">
        <f>IF(Tasks[[#This Row],[Task]]="","",IFERROR(MATCH(Tasks[[#This Row],[Status]],{"Late","Blocked","Due soon"},0),9)*100000+N(Tasks[[#This Row],[Due]]))</f>
        <v/>
      </c>
      <c r="O615" t="str" cm="1">
        <f t="array" aca="1" ref="O6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5" t="str" cm="1">
        <f t="array" ref="P6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5" t="str" cm="1">
        <f t="array" ref="Q6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5" t="str" cm="1">
        <f t="array" ref="R6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6" spans="1:18" x14ac:dyDescent="0.25">
      <c r="A616" s="14" t="str" cm="1">
        <f t="array" ref="A616">IF(Tasks[[#This Row],[Task]]="","","T-"&amp;TEXT(ROW()-ROW(Tasks[#Headers]),"000"))</f>
        <v/>
      </c>
      <c r="B616" s="15"/>
      <c r="C616" s="15"/>
      <c r="D616" s="15"/>
      <c r="E616" s="15"/>
      <c r="F616" s="16"/>
      <c r="G616" s="16"/>
      <c r="H616" s="16"/>
      <c r="I616" s="15"/>
      <c r="J616" s="15"/>
      <c r="K6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6" s="17" t="str">
        <f>IF(Tasks[[#This Row],[Task]]="","",IFERROR(VLOOKUP(IF(Tasks[[#This Row],[Effort]]="","M",Tasks[[#This Row],[Effort]]),EffortTable,2,FALSE),0))</f>
        <v/>
      </c>
      <c r="N616" t="str">
        <f>IF(Tasks[[#This Row],[Task]]="","",IFERROR(MATCH(Tasks[[#This Row],[Status]],{"Late","Blocked","Due soon"},0),9)*100000+N(Tasks[[#This Row],[Due]]))</f>
        <v/>
      </c>
      <c r="O616" t="str" cm="1">
        <f t="array" aca="1" ref="O6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6" t="str" cm="1">
        <f t="array" ref="P6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6" t="str" cm="1">
        <f t="array" ref="Q6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6" t="str" cm="1">
        <f t="array" ref="R6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7" spans="1:18" x14ac:dyDescent="0.25">
      <c r="A617" s="14" t="str" cm="1">
        <f t="array" ref="A617">IF(Tasks[[#This Row],[Task]]="","","T-"&amp;TEXT(ROW()-ROW(Tasks[#Headers]),"000"))</f>
        <v/>
      </c>
      <c r="B617" s="15"/>
      <c r="C617" s="15"/>
      <c r="D617" s="15"/>
      <c r="E617" s="15"/>
      <c r="F617" s="16"/>
      <c r="G617" s="16"/>
      <c r="H617" s="16"/>
      <c r="I617" s="15"/>
      <c r="J617" s="15"/>
      <c r="K6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7" s="17" t="str">
        <f>IF(Tasks[[#This Row],[Task]]="","",IFERROR(VLOOKUP(IF(Tasks[[#This Row],[Effort]]="","M",Tasks[[#This Row],[Effort]]),EffortTable,2,FALSE),0))</f>
        <v/>
      </c>
      <c r="N617" t="str">
        <f>IF(Tasks[[#This Row],[Task]]="","",IFERROR(MATCH(Tasks[[#This Row],[Status]],{"Late","Blocked","Due soon"},0),9)*100000+N(Tasks[[#This Row],[Due]]))</f>
        <v/>
      </c>
      <c r="O617" t="str" cm="1">
        <f t="array" aca="1" ref="O6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7" t="str" cm="1">
        <f t="array" ref="P6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7" t="str" cm="1">
        <f t="array" ref="Q6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7" t="str" cm="1">
        <f t="array" ref="R6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8" spans="1:18" x14ac:dyDescent="0.25">
      <c r="A618" s="14" t="str" cm="1">
        <f t="array" ref="A618">IF(Tasks[[#This Row],[Task]]="","","T-"&amp;TEXT(ROW()-ROW(Tasks[#Headers]),"000"))</f>
        <v/>
      </c>
      <c r="B618" s="15"/>
      <c r="C618" s="15"/>
      <c r="D618" s="15"/>
      <c r="E618" s="15"/>
      <c r="F618" s="16"/>
      <c r="G618" s="16"/>
      <c r="H618" s="16"/>
      <c r="I618" s="15"/>
      <c r="J618" s="15"/>
      <c r="K6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8" s="17" t="str">
        <f>IF(Tasks[[#This Row],[Task]]="","",IFERROR(VLOOKUP(IF(Tasks[[#This Row],[Effort]]="","M",Tasks[[#This Row],[Effort]]),EffortTable,2,FALSE),0))</f>
        <v/>
      </c>
      <c r="N618" t="str">
        <f>IF(Tasks[[#This Row],[Task]]="","",IFERROR(MATCH(Tasks[[#This Row],[Status]],{"Late","Blocked","Due soon"},0),9)*100000+N(Tasks[[#This Row],[Due]]))</f>
        <v/>
      </c>
      <c r="O618" t="str" cm="1">
        <f t="array" aca="1" ref="O6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8" t="str" cm="1">
        <f t="array" ref="P6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8" t="str" cm="1">
        <f t="array" ref="Q6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8" t="str" cm="1">
        <f t="array" ref="R6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19" spans="1:18" x14ac:dyDescent="0.25">
      <c r="A619" s="14" t="str" cm="1">
        <f t="array" ref="A619">IF(Tasks[[#This Row],[Task]]="","","T-"&amp;TEXT(ROW()-ROW(Tasks[#Headers]),"000"))</f>
        <v/>
      </c>
      <c r="B619" s="15"/>
      <c r="C619" s="15"/>
      <c r="D619" s="15"/>
      <c r="E619" s="15"/>
      <c r="F619" s="16"/>
      <c r="G619" s="16"/>
      <c r="H619" s="16"/>
      <c r="I619" s="15"/>
      <c r="J619" s="15"/>
      <c r="K6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19" s="17" t="str">
        <f>IF(Tasks[[#This Row],[Task]]="","",IFERROR(VLOOKUP(IF(Tasks[[#This Row],[Effort]]="","M",Tasks[[#This Row],[Effort]]),EffortTable,2,FALSE),0))</f>
        <v/>
      </c>
      <c r="N619" t="str">
        <f>IF(Tasks[[#This Row],[Task]]="","",IFERROR(MATCH(Tasks[[#This Row],[Status]],{"Late","Blocked","Due soon"},0),9)*100000+N(Tasks[[#This Row],[Due]]))</f>
        <v/>
      </c>
      <c r="O619" t="str" cm="1">
        <f t="array" aca="1" ref="O6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19" t="str" cm="1">
        <f t="array" ref="P6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19" t="str" cm="1">
        <f t="array" ref="Q6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19" t="str" cm="1">
        <f t="array" ref="R6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0" spans="1:18" x14ac:dyDescent="0.25">
      <c r="A620" s="14" t="str" cm="1">
        <f t="array" ref="A620">IF(Tasks[[#This Row],[Task]]="","","T-"&amp;TEXT(ROW()-ROW(Tasks[#Headers]),"000"))</f>
        <v/>
      </c>
      <c r="B620" s="15"/>
      <c r="C620" s="15"/>
      <c r="D620" s="15"/>
      <c r="E620" s="15"/>
      <c r="F620" s="16"/>
      <c r="G620" s="16"/>
      <c r="H620" s="16"/>
      <c r="I620" s="15"/>
      <c r="J620" s="15"/>
      <c r="K6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0" s="17" t="str">
        <f>IF(Tasks[[#This Row],[Task]]="","",IFERROR(VLOOKUP(IF(Tasks[[#This Row],[Effort]]="","M",Tasks[[#This Row],[Effort]]),EffortTable,2,FALSE),0))</f>
        <v/>
      </c>
      <c r="N620" t="str">
        <f>IF(Tasks[[#This Row],[Task]]="","",IFERROR(MATCH(Tasks[[#This Row],[Status]],{"Late","Blocked","Due soon"},0),9)*100000+N(Tasks[[#This Row],[Due]]))</f>
        <v/>
      </c>
      <c r="O620" t="str" cm="1">
        <f t="array" aca="1" ref="O6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0" t="str" cm="1">
        <f t="array" ref="P6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0" t="str" cm="1">
        <f t="array" ref="Q6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0" t="str" cm="1">
        <f t="array" ref="R6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1" spans="1:18" x14ac:dyDescent="0.25">
      <c r="A621" s="14" t="str" cm="1">
        <f t="array" ref="A621">IF(Tasks[[#This Row],[Task]]="","","T-"&amp;TEXT(ROW()-ROW(Tasks[#Headers]),"000"))</f>
        <v/>
      </c>
      <c r="B621" s="15"/>
      <c r="C621" s="15"/>
      <c r="D621" s="15"/>
      <c r="E621" s="15"/>
      <c r="F621" s="16"/>
      <c r="G621" s="16"/>
      <c r="H621" s="16"/>
      <c r="I621" s="15"/>
      <c r="J621" s="15"/>
      <c r="K6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1" s="17" t="str">
        <f>IF(Tasks[[#This Row],[Task]]="","",IFERROR(VLOOKUP(IF(Tasks[[#This Row],[Effort]]="","M",Tasks[[#This Row],[Effort]]),EffortTable,2,FALSE),0))</f>
        <v/>
      </c>
      <c r="N621" t="str">
        <f>IF(Tasks[[#This Row],[Task]]="","",IFERROR(MATCH(Tasks[[#This Row],[Status]],{"Late","Blocked","Due soon"},0),9)*100000+N(Tasks[[#This Row],[Due]]))</f>
        <v/>
      </c>
      <c r="O621" t="str" cm="1">
        <f t="array" aca="1" ref="O6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1" t="str" cm="1">
        <f t="array" ref="P6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1" t="str" cm="1">
        <f t="array" ref="Q6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1" t="str" cm="1">
        <f t="array" ref="R6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2" spans="1:18" x14ac:dyDescent="0.25">
      <c r="A622" s="14" t="str" cm="1">
        <f t="array" ref="A622">IF(Tasks[[#This Row],[Task]]="","","T-"&amp;TEXT(ROW()-ROW(Tasks[#Headers]),"000"))</f>
        <v/>
      </c>
      <c r="B622" s="15"/>
      <c r="C622" s="15"/>
      <c r="D622" s="15"/>
      <c r="E622" s="15"/>
      <c r="F622" s="16"/>
      <c r="G622" s="16"/>
      <c r="H622" s="16"/>
      <c r="I622" s="15"/>
      <c r="J622" s="15"/>
      <c r="K6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2" s="17" t="str">
        <f>IF(Tasks[[#This Row],[Task]]="","",IFERROR(VLOOKUP(IF(Tasks[[#This Row],[Effort]]="","M",Tasks[[#This Row],[Effort]]),EffortTable,2,FALSE),0))</f>
        <v/>
      </c>
      <c r="N622" t="str">
        <f>IF(Tasks[[#This Row],[Task]]="","",IFERROR(MATCH(Tasks[[#This Row],[Status]],{"Late","Blocked","Due soon"},0),9)*100000+N(Tasks[[#This Row],[Due]]))</f>
        <v/>
      </c>
      <c r="O622" t="str" cm="1">
        <f t="array" aca="1" ref="O6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2" t="str" cm="1">
        <f t="array" ref="P6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2" t="str" cm="1">
        <f t="array" ref="Q6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2" t="str" cm="1">
        <f t="array" ref="R6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3" spans="1:18" x14ac:dyDescent="0.25">
      <c r="A623" s="14" t="str" cm="1">
        <f t="array" ref="A623">IF(Tasks[[#This Row],[Task]]="","","T-"&amp;TEXT(ROW()-ROW(Tasks[#Headers]),"000"))</f>
        <v/>
      </c>
      <c r="B623" s="15"/>
      <c r="C623" s="15"/>
      <c r="D623" s="15"/>
      <c r="E623" s="15"/>
      <c r="F623" s="16"/>
      <c r="G623" s="16"/>
      <c r="H623" s="16"/>
      <c r="I623" s="15"/>
      <c r="J623" s="15"/>
      <c r="K6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3" s="17" t="str">
        <f>IF(Tasks[[#This Row],[Task]]="","",IFERROR(VLOOKUP(IF(Tasks[[#This Row],[Effort]]="","M",Tasks[[#This Row],[Effort]]),EffortTable,2,FALSE),0))</f>
        <v/>
      </c>
      <c r="N623" t="str">
        <f>IF(Tasks[[#This Row],[Task]]="","",IFERROR(MATCH(Tasks[[#This Row],[Status]],{"Late","Blocked","Due soon"},0),9)*100000+N(Tasks[[#This Row],[Due]]))</f>
        <v/>
      </c>
      <c r="O623" t="str" cm="1">
        <f t="array" aca="1" ref="O6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3" t="str" cm="1">
        <f t="array" ref="P6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3" t="str" cm="1">
        <f t="array" ref="Q6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3" t="str" cm="1">
        <f t="array" ref="R6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4" spans="1:18" x14ac:dyDescent="0.25">
      <c r="A624" s="14" t="str" cm="1">
        <f t="array" ref="A624">IF(Tasks[[#This Row],[Task]]="","","T-"&amp;TEXT(ROW()-ROW(Tasks[#Headers]),"000"))</f>
        <v/>
      </c>
      <c r="B624" s="15"/>
      <c r="C624" s="15"/>
      <c r="D624" s="15"/>
      <c r="E624" s="15"/>
      <c r="F624" s="16"/>
      <c r="G624" s="16"/>
      <c r="H624" s="16"/>
      <c r="I624" s="15"/>
      <c r="J624" s="15"/>
      <c r="K6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4" s="17" t="str">
        <f>IF(Tasks[[#This Row],[Task]]="","",IFERROR(VLOOKUP(IF(Tasks[[#This Row],[Effort]]="","M",Tasks[[#This Row],[Effort]]),EffortTable,2,FALSE),0))</f>
        <v/>
      </c>
      <c r="N624" t="str">
        <f>IF(Tasks[[#This Row],[Task]]="","",IFERROR(MATCH(Tasks[[#This Row],[Status]],{"Late","Blocked","Due soon"},0),9)*100000+N(Tasks[[#This Row],[Due]]))</f>
        <v/>
      </c>
      <c r="O624" t="str" cm="1">
        <f t="array" aca="1" ref="O6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4" t="str" cm="1">
        <f t="array" ref="P6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4" t="str" cm="1">
        <f t="array" ref="Q6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4" t="str" cm="1">
        <f t="array" ref="R6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5" spans="1:18" x14ac:dyDescent="0.25">
      <c r="A625" s="14" t="str" cm="1">
        <f t="array" ref="A625">IF(Tasks[[#This Row],[Task]]="","","T-"&amp;TEXT(ROW()-ROW(Tasks[#Headers]),"000"))</f>
        <v/>
      </c>
      <c r="B625" s="15"/>
      <c r="C625" s="15"/>
      <c r="D625" s="15"/>
      <c r="E625" s="15"/>
      <c r="F625" s="16"/>
      <c r="G625" s="16"/>
      <c r="H625" s="16"/>
      <c r="I625" s="15"/>
      <c r="J625" s="15"/>
      <c r="K6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5" s="17" t="str">
        <f>IF(Tasks[[#This Row],[Task]]="","",IFERROR(VLOOKUP(IF(Tasks[[#This Row],[Effort]]="","M",Tasks[[#This Row],[Effort]]),EffortTable,2,FALSE),0))</f>
        <v/>
      </c>
      <c r="N625" t="str">
        <f>IF(Tasks[[#This Row],[Task]]="","",IFERROR(MATCH(Tasks[[#This Row],[Status]],{"Late","Blocked","Due soon"},0),9)*100000+N(Tasks[[#This Row],[Due]]))</f>
        <v/>
      </c>
      <c r="O625" t="str" cm="1">
        <f t="array" aca="1" ref="O6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5" t="str" cm="1">
        <f t="array" ref="P6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5" t="str" cm="1">
        <f t="array" ref="Q6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5" t="str" cm="1">
        <f t="array" ref="R6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6" spans="1:18" x14ac:dyDescent="0.25">
      <c r="A626" s="14" t="str" cm="1">
        <f t="array" ref="A626">IF(Tasks[[#This Row],[Task]]="","","T-"&amp;TEXT(ROW()-ROW(Tasks[#Headers]),"000"))</f>
        <v/>
      </c>
      <c r="B626" s="15"/>
      <c r="C626" s="15"/>
      <c r="D626" s="15"/>
      <c r="E626" s="15"/>
      <c r="F626" s="16"/>
      <c r="G626" s="16"/>
      <c r="H626" s="16"/>
      <c r="I626" s="15"/>
      <c r="J626" s="15"/>
      <c r="K6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6" s="17" t="str">
        <f>IF(Tasks[[#This Row],[Task]]="","",IFERROR(VLOOKUP(IF(Tasks[[#This Row],[Effort]]="","M",Tasks[[#This Row],[Effort]]),EffortTable,2,FALSE),0))</f>
        <v/>
      </c>
      <c r="N626" t="str">
        <f>IF(Tasks[[#This Row],[Task]]="","",IFERROR(MATCH(Tasks[[#This Row],[Status]],{"Late","Blocked","Due soon"},0),9)*100000+N(Tasks[[#This Row],[Due]]))</f>
        <v/>
      </c>
      <c r="O626" t="str" cm="1">
        <f t="array" aca="1" ref="O6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6" t="str" cm="1">
        <f t="array" ref="P6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6" t="str" cm="1">
        <f t="array" ref="Q6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6" t="str" cm="1">
        <f t="array" ref="R6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7" spans="1:18" x14ac:dyDescent="0.25">
      <c r="A627" s="14" t="str" cm="1">
        <f t="array" ref="A627">IF(Tasks[[#This Row],[Task]]="","","T-"&amp;TEXT(ROW()-ROW(Tasks[#Headers]),"000"))</f>
        <v/>
      </c>
      <c r="B627" s="15"/>
      <c r="C627" s="15"/>
      <c r="D627" s="15"/>
      <c r="E627" s="15"/>
      <c r="F627" s="16"/>
      <c r="G627" s="16"/>
      <c r="H627" s="16"/>
      <c r="I627" s="15"/>
      <c r="J627" s="15"/>
      <c r="K6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7" s="17" t="str">
        <f>IF(Tasks[[#This Row],[Task]]="","",IFERROR(VLOOKUP(IF(Tasks[[#This Row],[Effort]]="","M",Tasks[[#This Row],[Effort]]),EffortTable,2,FALSE),0))</f>
        <v/>
      </c>
      <c r="N627" t="str">
        <f>IF(Tasks[[#This Row],[Task]]="","",IFERROR(MATCH(Tasks[[#This Row],[Status]],{"Late","Blocked","Due soon"},0),9)*100000+N(Tasks[[#This Row],[Due]]))</f>
        <v/>
      </c>
      <c r="O627" t="str" cm="1">
        <f t="array" aca="1" ref="O6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7" t="str" cm="1">
        <f t="array" ref="P6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7" t="str" cm="1">
        <f t="array" ref="Q6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7" t="str" cm="1">
        <f t="array" ref="R6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8" spans="1:18" x14ac:dyDescent="0.25">
      <c r="A628" s="14" t="str" cm="1">
        <f t="array" ref="A628">IF(Tasks[[#This Row],[Task]]="","","T-"&amp;TEXT(ROW()-ROW(Tasks[#Headers]),"000"))</f>
        <v/>
      </c>
      <c r="B628" s="15"/>
      <c r="C628" s="15"/>
      <c r="D628" s="15"/>
      <c r="E628" s="15"/>
      <c r="F628" s="16"/>
      <c r="G628" s="16"/>
      <c r="H628" s="16"/>
      <c r="I628" s="15"/>
      <c r="J628" s="15"/>
      <c r="K6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8" s="17" t="str">
        <f>IF(Tasks[[#This Row],[Task]]="","",IFERROR(VLOOKUP(IF(Tasks[[#This Row],[Effort]]="","M",Tasks[[#This Row],[Effort]]),EffortTable,2,FALSE),0))</f>
        <v/>
      </c>
      <c r="N628" t="str">
        <f>IF(Tasks[[#This Row],[Task]]="","",IFERROR(MATCH(Tasks[[#This Row],[Status]],{"Late","Blocked","Due soon"},0),9)*100000+N(Tasks[[#This Row],[Due]]))</f>
        <v/>
      </c>
      <c r="O628" t="str" cm="1">
        <f t="array" aca="1" ref="O6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8" t="str" cm="1">
        <f t="array" ref="P6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8" t="str" cm="1">
        <f t="array" ref="Q6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8" t="str" cm="1">
        <f t="array" ref="R6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29" spans="1:18" x14ac:dyDescent="0.25">
      <c r="A629" s="14" t="str" cm="1">
        <f t="array" ref="A629">IF(Tasks[[#This Row],[Task]]="","","T-"&amp;TEXT(ROW()-ROW(Tasks[#Headers]),"000"))</f>
        <v/>
      </c>
      <c r="B629" s="15"/>
      <c r="C629" s="15"/>
      <c r="D629" s="15"/>
      <c r="E629" s="15"/>
      <c r="F629" s="16"/>
      <c r="G629" s="16"/>
      <c r="H629" s="16"/>
      <c r="I629" s="15"/>
      <c r="J629" s="15"/>
      <c r="K6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29" s="17" t="str">
        <f>IF(Tasks[[#This Row],[Task]]="","",IFERROR(VLOOKUP(IF(Tasks[[#This Row],[Effort]]="","M",Tasks[[#This Row],[Effort]]),EffortTable,2,FALSE),0))</f>
        <v/>
      </c>
      <c r="N629" t="str">
        <f>IF(Tasks[[#This Row],[Task]]="","",IFERROR(MATCH(Tasks[[#This Row],[Status]],{"Late","Blocked","Due soon"},0),9)*100000+N(Tasks[[#This Row],[Due]]))</f>
        <v/>
      </c>
      <c r="O629" t="str" cm="1">
        <f t="array" aca="1" ref="O6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29" t="str" cm="1">
        <f t="array" ref="P6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29" t="str" cm="1">
        <f t="array" ref="Q6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29" t="str" cm="1">
        <f t="array" ref="R6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0" spans="1:18" x14ac:dyDescent="0.25">
      <c r="A630" s="14" t="str" cm="1">
        <f t="array" ref="A630">IF(Tasks[[#This Row],[Task]]="","","T-"&amp;TEXT(ROW()-ROW(Tasks[#Headers]),"000"))</f>
        <v/>
      </c>
      <c r="B630" s="15"/>
      <c r="C630" s="15"/>
      <c r="D630" s="15"/>
      <c r="E630" s="15"/>
      <c r="F630" s="16"/>
      <c r="G630" s="16"/>
      <c r="H630" s="16"/>
      <c r="I630" s="15"/>
      <c r="J630" s="15"/>
      <c r="K6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0" s="17" t="str">
        <f>IF(Tasks[[#This Row],[Task]]="","",IFERROR(VLOOKUP(IF(Tasks[[#This Row],[Effort]]="","M",Tasks[[#This Row],[Effort]]),EffortTable,2,FALSE),0))</f>
        <v/>
      </c>
      <c r="N630" t="str">
        <f>IF(Tasks[[#This Row],[Task]]="","",IFERROR(MATCH(Tasks[[#This Row],[Status]],{"Late","Blocked","Due soon"},0),9)*100000+N(Tasks[[#This Row],[Due]]))</f>
        <v/>
      </c>
      <c r="O630" t="str" cm="1">
        <f t="array" aca="1" ref="O6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0" t="str" cm="1">
        <f t="array" ref="P6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0" t="str" cm="1">
        <f t="array" ref="Q6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0" t="str" cm="1">
        <f t="array" ref="R6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1" spans="1:18" x14ac:dyDescent="0.25">
      <c r="A631" s="14" t="str" cm="1">
        <f t="array" ref="A631">IF(Tasks[[#This Row],[Task]]="","","T-"&amp;TEXT(ROW()-ROW(Tasks[#Headers]),"000"))</f>
        <v/>
      </c>
      <c r="B631" s="15"/>
      <c r="C631" s="15"/>
      <c r="D631" s="15"/>
      <c r="E631" s="15"/>
      <c r="F631" s="16"/>
      <c r="G631" s="16"/>
      <c r="H631" s="16"/>
      <c r="I631" s="15"/>
      <c r="J631" s="15"/>
      <c r="K6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1" s="17" t="str">
        <f>IF(Tasks[[#This Row],[Task]]="","",IFERROR(VLOOKUP(IF(Tasks[[#This Row],[Effort]]="","M",Tasks[[#This Row],[Effort]]),EffortTable,2,FALSE),0))</f>
        <v/>
      </c>
      <c r="N631" t="str">
        <f>IF(Tasks[[#This Row],[Task]]="","",IFERROR(MATCH(Tasks[[#This Row],[Status]],{"Late","Blocked","Due soon"},0),9)*100000+N(Tasks[[#This Row],[Due]]))</f>
        <v/>
      </c>
      <c r="O631" t="str" cm="1">
        <f t="array" aca="1" ref="O6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1" t="str" cm="1">
        <f t="array" ref="P6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1" t="str" cm="1">
        <f t="array" ref="Q6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1" t="str" cm="1">
        <f t="array" ref="R6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2" spans="1:18" x14ac:dyDescent="0.25">
      <c r="A632" s="14" t="str" cm="1">
        <f t="array" ref="A632">IF(Tasks[[#This Row],[Task]]="","","T-"&amp;TEXT(ROW()-ROW(Tasks[#Headers]),"000"))</f>
        <v/>
      </c>
      <c r="B632" s="15"/>
      <c r="C632" s="15"/>
      <c r="D632" s="15"/>
      <c r="E632" s="15"/>
      <c r="F632" s="16"/>
      <c r="G632" s="16"/>
      <c r="H632" s="16"/>
      <c r="I632" s="15"/>
      <c r="J632" s="15"/>
      <c r="K6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2" s="17" t="str">
        <f>IF(Tasks[[#This Row],[Task]]="","",IFERROR(VLOOKUP(IF(Tasks[[#This Row],[Effort]]="","M",Tasks[[#This Row],[Effort]]),EffortTable,2,FALSE),0))</f>
        <v/>
      </c>
      <c r="N632" t="str">
        <f>IF(Tasks[[#This Row],[Task]]="","",IFERROR(MATCH(Tasks[[#This Row],[Status]],{"Late","Blocked","Due soon"},0),9)*100000+N(Tasks[[#This Row],[Due]]))</f>
        <v/>
      </c>
      <c r="O632" t="str" cm="1">
        <f t="array" aca="1" ref="O6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2" t="str" cm="1">
        <f t="array" ref="P6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2" t="str" cm="1">
        <f t="array" ref="Q6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2" t="str" cm="1">
        <f t="array" ref="R6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3" spans="1:18" x14ac:dyDescent="0.25">
      <c r="A633" s="14" t="str" cm="1">
        <f t="array" ref="A633">IF(Tasks[[#This Row],[Task]]="","","T-"&amp;TEXT(ROW()-ROW(Tasks[#Headers]),"000"))</f>
        <v/>
      </c>
      <c r="B633" s="15"/>
      <c r="C633" s="15"/>
      <c r="D633" s="15"/>
      <c r="E633" s="15"/>
      <c r="F633" s="16"/>
      <c r="G633" s="16"/>
      <c r="H633" s="16"/>
      <c r="I633" s="15"/>
      <c r="J633" s="15"/>
      <c r="K6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3" s="17" t="str">
        <f>IF(Tasks[[#This Row],[Task]]="","",IFERROR(VLOOKUP(IF(Tasks[[#This Row],[Effort]]="","M",Tasks[[#This Row],[Effort]]),EffortTable,2,FALSE),0))</f>
        <v/>
      </c>
      <c r="N633" t="str">
        <f>IF(Tasks[[#This Row],[Task]]="","",IFERROR(MATCH(Tasks[[#This Row],[Status]],{"Late","Blocked","Due soon"},0),9)*100000+N(Tasks[[#This Row],[Due]]))</f>
        <v/>
      </c>
      <c r="O633" t="str" cm="1">
        <f t="array" aca="1" ref="O6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3" t="str" cm="1">
        <f t="array" ref="P6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3" t="str" cm="1">
        <f t="array" ref="Q6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3" t="str" cm="1">
        <f t="array" ref="R6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4" spans="1:18" x14ac:dyDescent="0.25">
      <c r="A634" s="14" t="str" cm="1">
        <f t="array" ref="A634">IF(Tasks[[#This Row],[Task]]="","","T-"&amp;TEXT(ROW()-ROW(Tasks[#Headers]),"000"))</f>
        <v/>
      </c>
      <c r="B634" s="15"/>
      <c r="C634" s="15"/>
      <c r="D634" s="15"/>
      <c r="E634" s="15"/>
      <c r="F634" s="16"/>
      <c r="G634" s="16"/>
      <c r="H634" s="16"/>
      <c r="I634" s="15"/>
      <c r="J634" s="15"/>
      <c r="K6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4" s="17" t="str">
        <f>IF(Tasks[[#This Row],[Task]]="","",IFERROR(VLOOKUP(IF(Tasks[[#This Row],[Effort]]="","M",Tasks[[#This Row],[Effort]]),EffortTable,2,FALSE),0))</f>
        <v/>
      </c>
      <c r="N634" t="str">
        <f>IF(Tasks[[#This Row],[Task]]="","",IFERROR(MATCH(Tasks[[#This Row],[Status]],{"Late","Blocked","Due soon"},0),9)*100000+N(Tasks[[#This Row],[Due]]))</f>
        <v/>
      </c>
      <c r="O634" t="str" cm="1">
        <f t="array" aca="1" ref="O6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4" t="str" cm="1">
        <f t="array" ref="P6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4" t="str" cm="1">
        <f t="array" ref="Q6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4" t="str" cm="1">
        <f t="array" ref="R6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5" spans="1:18" x14ac:dyDescent="0.25">
      <c r="A635" s="14" t="str" cm="1">
        <f t="array" ref="A635">IF(Tasks[[#This Row],[Task]]="","","T-"&amp;TEXT(ROW()-ROW(Tasks[#Headers]),"000"))</f>
        <v/>
      </c>
      <c r="B635" s="15"/>
      <c r="C635" s="15"/>
      <c r="D635" s="15"/>
      <c r="E635" s="15"/>
      <c r="F635" s="16"/>
      <c r="G635" s="16"/>
      <c r="H635" s="16"/>
      <c r="I635" s="15"/>
      <c r="J635" s="15"/>
      <c r="K6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5" s="17" t="str">
        <f>IF(Tasks[[#This Row],[Task]]="","",IFERROR(VLOOKUP(IF(Tasks[[#This Row],[Effort]]="","M",Tasks[[#This Row],[Effort]]),EffortTable,2,FALSE),0))</f>
        <v/>
      </c>
      <c r="N635" t="str">
        <f>IF(Tasks[[#This Row],[Task]]="","",IFERROR(MATCH(Tasks[[#This Row],[Status]],{"Late","Blocked","Due soon"},0),9)*100000+N(Tasks[[#This Row],[Due]]))</f>
        <v/>
      </c>
      <c r="O635" t="str" cm="1">
        <f t="array" aca="1" ref="O6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5" t="str" cm="1">
        <f t="array" ref="P6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5" t="str" cm="1">
        <f t="array" ref="Q6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5" t="str" cm="1">
        <f t="array" ref="R6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6" spans="1:18" x14ac:dyDescent="0.25">
      <c r="A636" s="14" t="str" cm="1">
        <f t="array" ref="A636">IF(Tasks[[#This Row],[Task]]="","","T-"&amp;TEXT(ROW()-ROW(Tasks[#Headers]),"000"))</f>
        <v/>
      </c>
      <c r="B636" s="15"/>
      <c r="C636" s="15"/>
      <c r="D636" s="15"/>
      <c r="E636" s="15"/>
      <c r="F636" s="16"/>
      <c r="G636" s="16"/>
      <c r="H636" s="16"/>
      <c r="I636" s="15"/>
      <c r="J636" s="15"/>
      <c r="K6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6" s="17" t="str">
        <f>IF(Tasks[[#This Row],[Task]]="","",IFERROR(VLOOKUP(IF(Tasks[[#This Row],[Effort]]="","M",Tasks[[#This Row],[Effort]]),EffortTable,2,FALSE),0))</f>
        <v/>
      </c>
      <c r="N636" t="str">
        <f>IF(Tasks[[#This Row],[Task]]="","",IFERROR(MATCH(Tasks[[#This Row],[Status]],{"Late","Blocked","Due soon"},0),9)*100000+N(Tasks[[#This Row],[Due]]))</f>
        <v/>
      </c>
      <c r="O636" t="str" cm="1">
        <f t="array" aca="1" ref="O6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6" t="str" cm="1">
        <f t="array" ref="P6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6" t="str" cm="1">
        <f t="array" ref="Q6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6" t="str" cm="1">
        <f t="array" ref="R6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7" spans="1:18" x14ac:dyDescent="0.25">
      <c r="A637" s="14" t="str" cm="1">
        <f t="array" ref="A637">IF(Tasks[[#This Row],[Task]]="","","T-"&amp;TEXT(ROW()-ROW(Tasks[#Headers]),"000"))</f>
        <v/>
      </c>
      <c r="B637" s="15"/>
      <c r="C637" s="15"/>
      <c r="D637" s="15"/>
      <c r="E637" s="15"/>
      <c r="F637" s="16"/>
      <c r="G637" s="16"/>
      <c r="H637" s="16"/>
      <c r="I637" s="15"/>
      <c r="J637" s="15"/>
      <c r="K6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7" s="17" t="str">
        <f>IF(Tasks[[#This Row],[Task]]="","",IFERROR(VLOOKUP(IF(Tasks[[#This Row],[Effort]]="","M",Tasks[[#This Row],[Effort]]),EffortTable,2,FALSE),0))</f>
        <v/>
      </c>
      <c r="N637" t="str">
        <f>IF(Tasks[[#This Row],[Task]]="","",IFERROR(MATCH(Tasks[[#This Row],[Status]],{"Late","Blocked","Due soon"},0),9)*100000+N(Tasks[[#This Row],[Due]]))</f>
        <v/>
      </c>
      <c r="O637" t="str" cm="1">
        <f t="array" aca="1" ref="O6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7" t="str" cm="1">
        <f t="array" ref="P6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7" t="str" cm="1">
        <f t="array" ref="Q6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7" t="str" cm="1">
        <f t="array" ref="R6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8" spans="1:18" x14ac:dyDescent="0.25">
      <c r="A638" s="14" t="str" cm="1">
        <f t="array" ref="A638">IF(Tasks[[#This Row],[Task]]="","","T-"&amp;TEXT(ROW()-ROW(Tasks[#Headers]),"000"))</f>
        <v/>
      </c>
      <c r="B638" s="15"/>
      <c r="C638" s="15"/>
      <c r="D638" s="15"/>
      <c r="E638" s="15"/>
      <c r="F638" s="16"/>
      <c r="G638" s="16"/>
      <c r="H638" s="16"/>
      <c r="I638" s="15"/>
      <c r="J638" s="15"/>
      <c r="K6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8" s="17" t="str">
        <f>IF(Tasks[[#This Row],[Task]]="","",IFERROR(VLOOKUP(IF(Tasks[[#This Row],[Effort]]="","M",Tasks[[#This Row],[Effort]]),EffortTable,2,FALSE),0))</f>
        <v/>
      </c>
      <c r="N638" t="str">
        <f>IF(Tasks[[#This Row],[Task]]="","",IFERROR(MATCH(Tasks[[#This Row],[Status]],{"Late","Blocked","Due soon"},0),9)*100000+N(Tasks[[#This Row],[Due]]))</f>
        <v/>
      </c>
      <c r="O638" t="str" cm="1">
        <f t="array" aca="1" ref="O6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8" t="str" cm="1">
        <f t="array" ref="P6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8" t="str" cm="1">
        <f t="array" ref="Q6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8" t="str" cm="1">
        <f t="array" ref="R6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39" spans="1:18" x14ac:dyDescent="0.25">
      <c r="A639" s="14" t="str" cm="1">
        <f t="array" ref="A639">IF(Tasks[[#This Row],[Task]]="","","T-"&amp;TEXT(ROW()-ROW(Tasks[#Headers]),"000"))</f>
        <v/>
      </c>
      <c r="B639" s="15"/>
      <c r="C639" s="15"/>
      <c r="D639" s="15"/>
      <c r="E639" s="15"/>
      <c r="F639" s="16"/>
      <c r="G639" s="16"/>
      <c r="H639" s="16"/>
      <c r="I639" s="15"/>
      <c r="J639" s="15"/>
      <c r="K6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39" s="17" t="str">
        <f>IF(Tasks[[#This Row],[Task]]="","",IFERROR(VLOOKUP(IF(Tasks[[#This Row],[Effort]]="","M",Tasks[[#This Row],[Effort]]),EffortTable,2,FALSE),0))</f>
        <v/>
      </c>
      <c r="N639" t="str">
        <f>IF(Tasks[[#This Row],[Task]]="","",IFERROR(MATCH(Tasks[[#This Row],[Status]],{"Late","Blocked","Due soon"},0),9)*100000+N(Tasks[[#This Row],[Due]]))</f>
        <v/>
      </c>
      <c r="O639" t="str" cm="1">
        <f t="array" aca="1" ref="O6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39" t="str" cm="1">
        <f t="array" ref="P6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39" t="str" cm="1">
        <f t="array" ref="Q6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39" t="str" cm="1">
        <f t="array" ref="R6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0" spans="1:18" x14ac:dyDescent="0.25">
      <c r="A640" s="14" t="str" cm="1">
        <f t="array" ref="A640">IF(Tasks[[#This Row],[Task]]="","","T-"&amp;TEXT(ROW()-ROW(Tasks[#Headers]),"000"))</f>
        <v/>
      </c>
      <c r="B640" s="15"/>
      <c r="C640" s="15"/>
      <c r="D640" s="15"/>
      <c r="E640" s="15"/>
      <c r="F640" s="16"/>
      <c r="G640" s="16"/>
      <c r="H640" s="16"/>
      <c r="I640" s="15"/>
      <c r="J640" s="15"/>
      <c r="K6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0" s="17" t="str">
        <f>IF(Tasks[[#This Row],[Task]]="","",IFERROR(VLOOKUP(IF(Tasks[[#This Row],[Effort]]="","M",Tasks[[#This Row],[Effort]]),EffortTable,2,FALSE),0))</f>
        <v/>
      </c>
      <c r="N640" t="str">
        <f>IF(Tasks[[#This Row],[Task]]="","",IFERROR(MATCH(Tasks[[#This Row],[Status]],{"Late","Blocked","Due soon"},0),9)*100000+N(Tasks[[#This Row],[Due]]))</f>
        <v/>
      </c>
      <c r="O640" t="str" cm="1">
        <f t="array" aca="1" ref="O6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0" t="str" cm="1">
        <f t="array" ref="P6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0" t="str" cm="1">
        <f t="array" ref="Q6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0" t="str" cm="1">
        <f t="array" ref="R6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1" spans="1:18" x14ac:dyDescent="0.25">
      <c r="A641" s="14" t="str" cm="1">
        <f t="array" ref="A641">IF(Tasks[[#This Row],[Task]]="","","T-"&amp;TEXT(ROW()-ROW(Tasks[#Headers]),"000"))</f>
        <v/>
      </c>
      <c r="B641" s="15"/>
      <c r="C641" s="15"/>
      <c r="D641" s="15"/>
      <c r="E641" s="15"/>
      <c r="F641" s="16"/>
      <c r="G641" s="16"/>
      <c r="H641" s="16"/>
      <c r="I641" s="15"/>
      <c r="J641" s="15"/>
      <c r="K6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1" s="17" t="str">
        <f>IF(Tasks[[#This Row],[Task]]="","",IFERROR(VLOOKUP(IF(Tasks[[#This Row],[Effort]]="","M",Tasks[[#This Row],[Effort]]),EffortTable,2,FALSE),0))</f>
        <v/>
      </c>
      <c r="N641" t="str">
        <f>IF(Tasks[[#This Row],[Task]]="","",IFERROR(MATCH(Tasks[[#This Row],[Status]],{"Late","Blocked","Due soon"},0),9)*100000+N(Tasks[[#This Row],[Due]]))</f>
        <v/>
      </c>
      <c r="O641" t="str" cm="1">
        <f t="array" aca="1" ref="O6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1" t="str" cm="1">
        <f t="array" ref="P6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1" t="str" cm="1">
        <f t="array" ref="Q6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1" t="str" cm="1">
        <f t="array" ref="R6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2" spans="1:18" x14ac:dyDescent="0.25">
      <c r="A642" s="14" t="str" cm="1">
        <f t="array" ref="A642">IF(Tasks[[#This Row],[Task]]="","","T-"&amp;TEXT(ROW()-ROW(Tasks[#Headers]),"000"))</f>
        <v/>
      </c>
      <c r="B642" s="15"/>
      <c r="C642" s="15"/>
      <c r="D642" s="15"/>
      <c r="E642" s="15"/>
      <c r="F642" s="16"/>
      <c r="G642" s="16"/>
      <c r="H642" s="16"/>
      <c r="I642" s="15"/>
      <c r="J642" s="15"/>
      <c r="K6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2" s="17" t="str">
        <f>IF(Tasks[[#This Row],[Task]]="","",IFERROR(VLOOKUP(IF(Tasks[[#This Row],[Effort]]="","M",Tasks[[#This Row],[Effort]]),EffortTable,2,FALSE),0))</f>
        <v/>
      </c>
      <c r="N642" t="str">
        <f>IF(Tasks[[#This Row],[Task]]="","",IFERROR(MATCH(Tasks[[#This Row],[Status]],{"Late","Blocked","Due soon"},0),9)*100000+N(Tasks[[#This Row],[Due]]))</f>
        <v/>
      </c>
      <c r="O642" t="str" cm="1">
        <f t="array" aca="1" ref="O6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2" t="str" cm="1">
        <f t="array" ref="P6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2" t="str" cm="1">
        <f t="array" ref="Q6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2" t="str" cm="1">
        <f t="array" ref="R6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3" spans="1:18" x14ac:dyDescent="0.25">
      <c r="A643" s="14" t="str" cm="1">
        <f t="array" ref="A643">IF(Tasks[[#This Row],[Task]]="","","T-"&amp;TEXT(ROW()-ROW(Tasks[#Headers]),"000"))</f>
        <v/>
      </c>
      <c r="B643" s="15"/>
      <c r="C643" s="15"/>
      <c r="D643" s="15"/>
      <c r="E643" s="15"/>
      <c r="F643" s="16"/>
      <c r="G643" s="16"/>
      <c r="H643" s="16"/>
      <c r="I643" s="15"/>
      <c r="J643" s="15"/>
      <c r="K6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3" s="17" t="str">
        <f>IF(Tasks[[#This Row],[Task]]="","",IFERROR(VLOOKUP(IF(Tasks[[#This Row],[Effort]]="","M",Tasks[[#This Row],[Effort]]),EffortTable,2,FALSE),0))</f>
        <v/>
      </c>
      <c r="N643" t="str">
        <f>IF(Tasks[[#This Row],[Task]]="","",IFERROR(MATCH(Tasks[[#This Row],[Status]],{"Late","Blocked","Due soon"},0),9)*100000+N(Tasks[[#This Row],[Due]]))</f>
        <v/>
      </c>
      <c r="O643" t="str" cm="1">
        <f t="array" aca="1" ref="O6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3" t="str" cm="1">
        <f t="array" ref="P6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3" t="str" cm="1">
        <f t="array" ref="Q6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3" t="str" cm="1">
        <f t="array" ref="R6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4" spans="1:18" x14ac:dyDescent="0.25">
      <c r="A644" s="14" t="str" cm="1">
        <f t="array" ref="A644">IF(Tasks[[#This Row],[Task]]="","","T-"&amp;TEXT(ROW()-ROW(Tasks[#Headers]),"000"))</f>
        <v/>
      </c>
      <c r="B644" s="15"/>
      <c r="C644" s="15"/>
      <c r="D644" s="15"/>
      <c r="E644" s="15"/>
      <c r="F644" s="16"/>
      <c r="G644" s="16"/>
      <c r="H644" s="16"/>
      <c r="I644" s="15"/>
      <c r="J644" s="15"/>
      <c r="K6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4" s="17" t="str">
        <f>IF(Tasks[[#This Row],[Task]]="","",IFERROR(VLOOKUP(IF(Tasks[[#This Row],[Effort]]="","M",Tasks[[#This Row],[Effort]]),EffortTable,2,FALSE),0))</f>
        <v/>
      </c>
      <c r="N644" t="str">
        <f>IF(Tasks[[#This Row],[Task]]="","",IFERROR(MATCH(Tasks[[#This Row],[Status]],{"Late","Blocked","Due soon"},0),9)*100000+N(Tasks[[#This Row],[Due]]))</f>
        <v/>
      </c>
      <c r="O644" t="str" cm="1">
        <f t="array" aca="1" ref="O6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4" t="str" cm="1">
        <f t="array" ref="P6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4" t="str" cm="1">
        <f t="array" ref="Q6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4" t="str" cm="1">
        <f t="array" ref="R6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5" spans="1:18" x14ac:dyDescent="0.25">
      <c r="A645" s="14" t="str" cm="1">
        <f t="array" ref="A645">IF(Tasks[[#This Row],[Task]]="","","T-"&amp;TEXT(ROW()-ROW(Tasks[#Headers]),"000"))</f>
        <v/>
      </c>
      <c r="B645" s="15"/>
      <c r="C645" s="15"/>
      <c r="D645" s="15"/>
      <c r="E645" s="15"/>
      <c r="F645" s="16"/>
      <c r="G645" s="16"/>
      <c r="H645" s="16"/>
      <c r="I645" s="15"/>
      <c r="J645" s="15"/>
      <c r="K6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5" s="17" t="str">
        <f>IF(Tasks[[#This Row],[Task]]="","",IFERROR(VLOOKUP(IF(Tasks[[#This Row],[Effort]]="","M",Tasks[[#This Row],[Effort]]),EffortTable,2,FALSE),0))</f>
        <v/>
      </c>
      <c r="N645" t="str">
        <f>IF(Tasks[[#This Row],[Task]]="","",IFERROR(MATCH(Tasks[[#This Row],[Status]],{"Late","Blocked","Due soon"},0),9)*100000+N(Tasks[[#This Row],[Due]]))</f>
        <v/>
      </c>
      <c r="O645" t="str" cm="1">
        <f t="array" aca="1" ref="O6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5" t="str" cm="1">
        <f t="array" ref="P6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5" t="str" cm="1">
        <f t="array" ref="Q6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5" t="str" cm="1">
        <f t="array" ref="R6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6" spans="1:18" x14ac:dyDescent="0.25">
      <c r="A646" s="14" t="str" cm="1">
        <f t="array" ref="A646">IF(Tasks[[#This Row],[Task]]="","","T-"&amp;TEXT(ROW()-ROW(Tasks[#Headers]),"000"))</f>
        <v/>
      </c>
      <c r="B646" s="15"/>
      <c r="C646" s="15"/>
      <c r="D646" s="15"/>
      <c r="E646" s="15"/>
      <c r="F646" s="16"/>
      <c r="G646" s="16"/>
      <c r="H646" s="16"/>
      <c r="I646" s="15"/>
      <c r="J646" s="15"/>
      <c r="K6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6" s="17" t="str">
        <f>IF(Tasks[[#This Row],[Task]]="","",IFERROR(VLOOKUP(IF(Tasks[[#This Row],[Effort]]="","M",Tasks[[#This Row],[Effort]]),EffortTable,2,FALSE),0))</f>
        <v/>
      </c>
      <c r="N646" t="str">
        <f>IF(Tasks[[#This Row],[Task]]="","",IFERROR(MATCH(Tasks[[#This Row],[Status]],{"Late","Blocked","Due soon"},0),9)*100000+N(Tasks[[#This Row],[Due]]))</f>
        <v/>
      </c>
      <c r="O646" t="str" cm="1">
        <f t="array" aca="1" ref="O6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6" t="str" cm="1">
        <f t="array" ref="P6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6" t="str" cm="1">
        <f t="array" ref="Q6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6" t="str" cm="1">
        <f t="array" ref="R6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7" spans="1:18" x14ac:dyDescent="0.25">
      <c r="A647" s="14" t="str" cm="1">
        <f t="array" ref="A647">IF(Tasks[[#This Row],[Task]]="","","T-"&amp;TEXT(ROW()-ROW(Tasks[#Headers]),"000"))</f>
        <v/>
      </c>
      <c r="B647" s="15"/>
      <c r="C647" s="15"/>
      <c r="D647" s="15"/>
      <c r="E647" s="15"/>
      <c r="F647" s="16"/>
      <c r="G647" s="16"/>
      <c r="H647" s="16"/>
      <c r="I647" s="15"/>
      <c r="J647" s="15"/>
      <c r="K6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7" s="17" t="str">
        <f>IF(Tasks[[#This Row],[Task]]="","",IFERROR(VLOOKUP(IF(Tasks[[#This Row],[Effort]]="","M",Tasks[[#This Row],[Effort]]),EffortTable,2,FALSE),0))</f>
        <v/>
      </c>
      <c r="N647" t="str">
        <f>IF(Tasks[[#This Row],[Task]]="","",IFERROR(MATCH(Tasks[[#This Row],[Status]],{"Late","Blocked","Due soon"},0),9)*100000+N(Tasks[[#This Row],[Due]]))</f>
        <v/>
      </c>
      <c r="O647" t="str" cm="1">
        <f t="array" aca="1" ref="O6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7" t="str" cm="1">
        <f t="array" ref="P6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7" t="str" cm="1">
        <f t="array" ref="Q6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7" t="str" cm="1">
        <f t="array" ref="R6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8" spans="1:18" x14ac:dyDescent="0.25">
      <c r="A648" s="14" t="str" cm="1">
        <f t="array" ref="A648">IF(Tasks[[#This Row],[Task]]="","","T-"&amp;TEXT(ROW()-ROW(Tasks[#Headers]),"000"))</f>
        <v/>
      </c>
      <c r="B648" s="15"/>
      <c r="C648" s="15"/>
      <c r="D648" s="15"/>
      <c r="E648" s="15"/>
      <c r="F648" s="16"/>
      <c r="G648" s="16"/>
      <c r="H648" s="16"/>
      <c r="I648" s="15"/>
      <c r="J648" s="15"/>
      <c r="K6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8" s="17" t="str">
        <f>IF(Tasks[[#This Row],[Task]]="","",IFERROR(VLOOKUP(IF(Tasks[[#This Row],[Effort]]="","M",Tasks[[#This Row],[Effort]]),EffortTable,2,FALSE),0))</f>
        <v/>
      </c>
      <c r="N648" t="str">
        <f>IF(Tasks[[#This Row],[Task]]="","",IFERROR(MATCH(Tasks[[#This Row],[Status]],{"Late","Blocked","Due soon"},0),9)*100000+N(Tasks[[#This Row],[Due]]))</f>
        <v/>
      </c>
      <c r="O648" t="str" cm="1">
        <f t="array" aca="1" ref="O6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8" t="str" cm="1">
        <f t="array" ref="P6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8" t="str" cm="1">
        <f t="array" ref="Q6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8" t="str" cm="1">
        <f t="array" ref="R6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49" spans="1:18" x14ac:dyDescent="0.25">
      <c r="A649" s="14" t="str" cm="1">
        <f t="array" ref="A649">IF(Tasks[[#This Row],[Task]]="","","T-"&amp;TEXT(ROW()-ROW(Tasks[#Headers]),"000"))</f>
        <v/>
      </c>
      <c r="B649" s="15"/>
      <c r="C649" s="15"/>
      <c r="D649" s="15"/>
      <c r="E649" s="15"/>
      <c r="F649" s="16"/>
      <c r="G649" s="16"/>
      <c r="H649" s="16"/>
      <c r="I649" s="15"/>
      <c r="J649" s="15"/>
      <c r="K6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49" s="17" t="str">
        <f>IF(Tasks[[#This Row],[Task]]="","",IFERROR(VLOOKUP(IF(Tasks[[#This Row],[Effort]]="","M",Tasks[[#This Row],[Effort]]),EffortTable,2,FALSE),0))</f>
        <v/>
      </c>
      <c r="N649" t="str">
        <f>IF(Tasks[[#This Row],[Task]]="","",IFERROR(MATCH(Tasks[[#This Row],[Status]],{"Late","Blocked","Due soon"},0),9)*100000+N(Tasks[[#This Row],[Due]]))</f>
        <v/>
      </c>
      <c r="O649" t="str" cm="1">
        <f t="array" aca="1" ref="O6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49" t="str" cm="1">
        <f t="array" ref="P6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49" t="str" cm="1">
        <f t="array" ref="Q6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49" t="str" cm="1">
        <f t="array" ref="R6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0" spans="1:18" x14ac:dyDescent="0.25">
      <c r="A650" s="14" t="str" cm="1">
        <f t="array" ref="A650">IF(Tasks[[#This Row],[Task]]="","","T-"&amp;TEXT(ROW()-ROW(Tasks[#Headers]),"000"))</f>
        <v/>
      </c>
      <c r="B650" s="15"/>
      <c r="C650" s="15"/>
      <c r="D650" s="15"/>
      <c r="E650" s="15"/>
      <c r="F650" s="16"/>
      <c r="G650" s="16"/>
      <c r="H650" s="16"/>
      <c r="I650" s="15"/>
      <c r="J650" s="15"/>
      <c r="K6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0" s="17" t="str">
        <f>IF(Tasks[[#This Row],[Task]]="","",IFERROR(VLOOKUP(IF(Tasks[[#This Row],[Effort]]="","M",Tasks[[#This Row],[Effort]]),EffortTable,2,FALSE),0))</f>
        <v/>
      </c>
      <c r="N650" t="str">
        <f>IF(Tasks[[#This Row],[Task]]="","",IFERROR(MATCH(Tasks[[#This Row],[Status]],{"Late","Blocked","Due soon"},0),9)*100000+N(Tasks[[#This Row],[Due]]))</f>
        <v/>
      </c>
      <c r="O650" t="str" cm="1">
        <f t="array" aca="1" ref="O6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0" t="str" cm="1">
        <f t="array" ref="P6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0" t="str" cm="1">
        <f t="array" ref="Q6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0" t="str" cm="1">
        <f t="array" ref="R6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1" spans="1:18" x14ac:dyDescent="0.25">
      <c r="A651" s="14" t="str" cm="1">
        <f t="array" ref="A651">IF(Tasks[[#This Row],[Task]]="","","T-"&amp;TEXT(ROW()-ROW(Tasks[#Headers]),"000"))</f>
        <v/>
      </c>
      <c r="B651" s="15"/>
      <c r="C651" s="15"/>
      <c r="D651" s="15"/>
      <c r="E651" s="15"/>
      <c r="F651" s="16"/>
      <c r="G651" s="16"/>
      <c r="H651" s="16"/>
      <c r="I651" s="15"/>
      <c r="J651" s="15"/>
      <c r="K6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1" s="17" t="str">
        <f>IF(Tasks[[#This Row],[Task]]="","",IFERROR(VLOOKUP(IF(Tasks[[#This Row],[Effort]]="","M",Tasks[[#This Row],[Effort]]),EffortTable,2,FALSE),0))</f>
        <v/>
      </c>
      <c r="N651" t="str">
        <f>IF(Tasks[[#This Row],[Task]]="","",IFERROR(MATCH(Tasks[[#This Row],[Status]],{"Late","Blocked","Due soon"},0),9)*100000+N(Tasks[[#This Row],[Due]]))</f>
        <v/>
      </c>
      <c r="O651" t="str" cm="1">
        <f t="array" aca="1" ref="O6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1" t="str" cm="1">
        <f t="array" ref="P6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1" t="str" cm="1">
        <f t="array" ref="Q6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1" t="str" cm="1">
        <f t="array" ref="R6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2" spans="1:18" x14ac:dyDescent="0.25">
      <c r="A652" s="14" t="str" cm="1">
        <f t="array" ref="A652">IF(Tasks[[#This Row],[Task]]="","","T-"&amp;TEXT(ROW()-ROW(Tasks[#Headers]),"000"))</f>
        <v/>
      </c>
      <c r="B652" s="15"/>
      <c r="C652" s="15"/>
      <c r="D652" s="15"/>
      <c r="E652" s="15"/>
      <c r="F652" s="16"/>
      <c r="G652" s="16"/>
      <c r="H652" s="16"/>
      <c r="I652" s="15"/>
      <c r="J652" s="15"/>
      <c r="K6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2" s="17" t="str">
        <f>IF(Tasks[[#This Row],[Task]]="","",IFERROR(VLOOKUP(IF(Tasks[[#This Row],[Effort]]="","M",Tasks[[#This Row],[Effort]]),EffortTable,2,FALSE),0))</f>
        <v/>
      </c>
      <c r="N652" t="str">
        <f>IF(Tasks[[#This Row],[Task]]="","",IFERROR(MATCH(Tasks[[#This Row],[Status]],{"Late","Blocked","Due soon"},0),9)*100000+N(Tasks[[#This Row],[Due]]))</f>
        <v/>
      </c>
      <c r="O652" t="str" cm="1">
        <f t="array" aca="1" ref="O6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2" t="str" cm="1">
        <f t="array" ref="P6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2" t="str" cm="1">
        <f t="array" ref="Q6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2" t="str" cm="1">
        <f t="array" ref="R6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3" spans="1:18" x14ac:dyDescent="0.25">
      <c r="A653" s="14" t="str" cm="1">
        <f t="array" ref="A653">IF(Tasks[[#This Row],[Task]]="","","T-"&amp;TEXT(ROW()-ROW(Tasks[#Headers]),"000"))</f>
        <v/>
      </c>
      <c r="B653" s="15"/>
      <c r="C653" s="15"/>
      <c r="D653" s="15"/>
      <c r="E653" s="15"/>
      <c r="F653" s="16"/>
      <c r="G653" s="16"/>
      <c r="H653" s="16"/>
      <c r="I653" s="15"/>
      <c r="J653" s="15"/>
      <c r="K6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3" s="17" t="str">
        <f>IF(Tasks[[#This Row],[Task]]="","",IFERROR(VLOOKUP(IF(Tasks[[#This Row],[Effort]]="","M",Tasks[[#This Row],[Effort]]),EffortTable,2,FALSE),0))</f>
        <v/>
      </c>
      <c r="N653" t="str">
        <f>IF(Tasks[[#This Row],[Task]]="","",IFERROR(MATCH(Tasks[[#This Row],[Status]],{"Late","Blocked","Due soon"},0),9)*100000+N(Tasks[[#This Row],[Due]]))</f>
        <v/>
      </c>
      <c r="O653" t="str" cm="1">
        <f t="array" aca="1" ref="O6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3" t="str" cm="1">
        <f t="array" ref="P6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3" t="str" cm="1">
        <f t="array" ref="Q6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3" t="str" cm="1">
        <f t="array" ref="R6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4" spans="1:18" x14ac:dyDescent="0.25">
      <c r="A654" s="14" t="str" cm="1">
        <f t="array" ref="A654">IF(Tasks[[#This Row],[Task]]="","","T-"&amp;TEXT(ROW()-ROW(Tasks[#Headers]),"000"))</f>
        <v/>
      </c>
      <c r="B654" s="15"/>
      <c r="C654" s="15"/>
      <c r="D654" s="15"/>
      <c r="E654" s="15"/>
      <c r="F654" s="16"/>
      <c r="G654" s="16"/>
      <c r="H654" s="16"/>
      <c r="I654" s="15"/>
      <c r="J654" s="15"/>
      <c r="K6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4" s="17" t="str">
        <f>IF(Tasks[[#This Row],[Task]]="","",IFERROR(VLOOKUP(IF(Tasks[[#This Row],[Effort]]="","M",Tasks[[#This Row],[Effort]]),EffortTable,2,FALSE),0))</f>
        <v/>
      </c>
      <c r="N654" t="str">
        <f>IF(Tasks[[#This Row],[Task]]="","",IFERROR(MATCH(Tasks[[#This Row],[Status]],{"Late","Blocked","Due soon"},0),9)*100000+N(Tasks[[#This Row],[Due]]))</f>
        <v/>
      </c>
      <c r="O654" t="str" cm="1">
        <f t="array" aca="1" ref="O6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4" t="str" cm="1">
        <f t="array" ref="P6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4" t="str" cm="1">
        <f t="array" ref="Q6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4" t="str" cm="1">
        <f t="array" ref="R6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5" spans="1:18" x14ac:dyDescent="0.25">
      <c r="A655" s="14" t="str" cm="1">
        <f t="array" ref="A655">IF(Tasks[[#This Row],[Task]]="","","T-"&amp;TEXT(ROW()-ROW(Tasks[#Headers]),"000"))</f>
        <v/>
      </c>
      <c r="B655" s="15"/>
      <c r="C655" s="15"/>
      <c r="D655" s="15"/>
      <c r="E655" s="15"/>
      <c r="F655" s="16"/>
      <c r="G655" s="16"/>
      <c r="H655" s="16"/>
      <c r="I655" s="15"/>
      <c r="J655" s="15"/>
      <c r="K6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5" s="17" t="str">
        <f>IF(Tasks[[#This Row],[Task]]="","",IFERROR(VLOOKUP(IF(Tasks[[#This Row],[Effort]]="","M",Tasks[[#This Row],[Effort]]),EffortTable,2,FALSE),0))</f>
        <v/>
      </c>
      <c r="N655" t="str">
        <f>IF(Tasks[[#This Row],[Task]]="","",IFERROR(MATCH(Tasks[[#This Row],[Status]],{"Late","Blocked","Due soon"},0),9)*100000+N(Tasks[[#This Row],[Due]]))</f>
        <v/>
      </c>
      <c r="O655" t="str" cm="1">
        <f t="array" aca="1" ref="O6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5" t="str" cm="1">
        <f t="array" ref="P6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5" t="str" cm="1">
        <f t="array" ref="Q6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5" t="str" cm="1">
        <f t="array" ref="R6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6" spans="1:18" x14ac:dyDescent="0.25">
      <c r="A656" s="14" t="str" cm="1">
        <f t="array" ref="A656">IF(Tasks[[#This Row],[Task]]="","","T-"&amp;TEXT(ROW()-ROW(Tasks[#Headers]),"000"))</f>
        <v/>
      </c>
      <c r="B656" s="15"/>
      <c r="C656" s="15"/>
      <c r="D656" s="15"/>
      <c r="E656" s="15"/>
      <c r="F656" s="16"/>
      <c r="G656" s="16"/>
      <c r="H656" s="16"/>
      <c r="I656" s="15"/>
      <c r="J656" s="15"/>
      <c r="K6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6" s="17" t="str">
        <f>IF(Tasks[[#This Row],[Task]]="","",IFERROR(VLOOKUP(IF(Tasks[[#This Row],[Effort]]="","M",Tasks[[#This Row],[Effort]]),EffortTable,2,FALSE),0))</f>
        <v/>
      </c>
      <c r="N656" t="str">
        <f>IF(Tasks[[#This Row],[Task]]="","",IFERROR(MATCH(Tasks[[#This Row],[Status]],{"Late","Blocked","Due soon"},0),9)*100000+N(Tasks[[#This Row],[Due]]))</f>
        <v/>
      </c>
      <c r="O656" t="str" cm="1">
        <f t="array" aca="1" ref="O6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6" t="str" cm="1">
        <f t="array" ref="P6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6" t="str" cm="1">
        <f t="array" ref="Q6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6" t="str" cm="1">
        <f t="array" ref="R6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7" spans="1:18" x14ac:dyDescent="0.25">
      <c r="A657" s="14" t="str" cm="1">
        <f t="array" ref="A657">IF(Tasks[[#This Row],[Task]]="","","T-"&amp;TEXT(ROW()-ROW(Tasks[#Headers]),"000"))</f>
        <v/>
      </c>
      <c r="B657" s="15"/>
      <c r="C657" s="15"/>
      <c r="D657" s="15"/>
      <c r="E657" s="15"/>
      <c r="F657" s="16"/>
      <c r="G657" s="16"/>
      <c r="H657" s="16"/>
      <c r="I657" s="15"/>
      <c r="J657" s="15"/>
      <c r="K6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7" s="17" t="str">
        <f>IF(Tasks[[#This Row],[Task]]="","",IFERROR(VLOOKUP(IF(Tasks[[#This Row],[Effort]]="","M",Tasks[[#This Row],[Effort]]),EffortTable,2,FALSE),0))</f>
        <v/>
      </c>
      <c r="N657" t="str">
        <f>IF(Tasks[[#This Row],[Task]]="","",IFERROR(MATCH(Tasks[[#This Row],[Status]],{"Late","Blocked","Due soon"},0),9)*100000+N(Tasks[[#This Row],[Due]]))</f>
        <v/>
      </c>
      <c r="O657" t="str" cm="1">
        <f t="array" aca="1" ref="O6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7" t="str" cm="1">
        <f t="array" ref="P6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7" t="str" cm="1">
        <f t="array" ref="Q6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7" t="str" cm="1">
        <f t="array" ref="R6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8" spans="1:18" x14ac:dyDescent="0.25">
      <c r="A658" s="14" t="str" cm="1">
        <f t="array" ref="A658">IF(Tasks[[#This Row],[Task]]="","","T-"&amp;TEXT(ROW()-ROW(Tasks[#Headers]),"000"))</f>
        <v/>
      </c>
      <c r="B658" s="15"/>
      <c r="C658" s="15"/>
      <c r="D658" s="15"/>
      <c r="E658" s="15"/>
      <c r="F658" s="16"/>
      <c r="G658" s="16"/>
      <c r="H658" s="16"/>
      <c r="I658" s="15"/>
      <c r="J658" s="15"/>
      <c r="K6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8" s="17" t="str">
        <f>IF(Tasks[[#This Row],[Task]]="","",IFERROR(VLOOKUP(IF(Tasks[[#This Row],[Effort]]="","M",Tasks[[#This Row],[Effort]]),EffortTable,2,FALSE),0))</f>
        <v/>
      </c>
      <c r="N658" t="str">
        <f>IF(Tasks[[#This Row],[Task]]="","",IFERROR(MATCH(Tasks[[#This Row],[Status]],{"Late","Blocked","Due soon"},0),9)*100000+N(Tasks[[#This Row],[Due]]))</f>
        <v/>
      </c>
      <c r="O658" t="str" cm="1">
        <f t="array" aca="1" ref="O6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8" t="str" cm="1">
        <f t="array" ref="P6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8" t="str" cm="1">
        <f t="array" ref="Q6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8" t="str" cm="1">
        <f t="array" ref="R6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59" spans="1:18" x14ac:dyDescent="0.25">
      <c r="A659" s="14" t="str" cm="1">
        <f t="array" ref="A659">IF(Tasks[[#This Row],[Task]]="","","T-"&amp;TEXT(ROW()-ROW(Tasks[#Headers]),"000"))</f>
        <v/>
      </c>
      <c r="B659" s="15"/>
      <c r="C659" s="15"/>
      <c r="D659" s="15"/>
      <c r="E659" s="15"/>
      <c r="F659" s="16"/>
      <c r="G659" s="16"/>
      <c r="H659" s="16"/>
      <c r="I659" s="15"/>
      <c r="J659" s="15"/>
      <c r="K6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59" s="17" t="str">
        <f>IF(Tasks[[#This Row],[Task]]="","",IFERROR(VLOOKUP(IF(Tasks[[#This Row],[Effort]]="","M",Tasks[[#This Row],[Effort]]),EffortTable,2,FALSE),0))</f>
        <v/>
      </c>
      <c r="N659" t="str">
        <f>IF(Tasks[[#This Row],[Task]]="","",IFERROR(MATCH(Tasks[[#This Row],[Status]],{"Late","Blocked","Due soon"},0),9)*100000+N(Tasks[[#This Row],[Due]]))</f>
        <v/>
      </c>
      <c r="O659" t="str" cm="1">
        <f t="array" aca="1" ref="O6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59" t="str" cm="1">
        <f t="array" ref="P6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59" t="str" cm="1">
        <f t="array" ref="Q6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59" t="str" cm="1">
        <f t="array" ref="R6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0" spans="1:18" x14ac:dyDescent="0.25">
      <c r="A660" s="14" t="str" cm="1">
        <f t="array" ref="A660">IF(Tasks[[#This Row],[Task]]="","","T-"&amp;TEXT(ROW()-ROW(Tasks[#Headers]),"000"))</f>
        <v/>
      </c>
      <c r="B660" s="15"/>
      <c r="C660" s="15"/>
      <c r="D660" s="15"/>
      <c r="E660" s="15"/>
      <c r="F660" s="16"/>
      <c r="G660" s="16"/>
      <c r="H660" s="16"/>
      <c r="I660" s="15"/>
      <c r="J660" s="15"/>
      <c r="K6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0" s="17" t="str">
        <f>IF(Tasks[[#This Row],[Task]]="","",IFERROR(VLOOKUP(IF(Tasks[[#This Row],[Effort]]="","M",Tasks[[#This Row],[Effort]]),EffortTable,2,FALSE),0))</f>
        <v/>
      </c>
      <c r="N660" t="str">
        <f>IF(Tasks[[#This Row],[Task]]="","",IFERROR(MATCH(Tasks[[#This Row],[Status]],{"Late","Blocked","Due soon"},0),9)*100000+N(Tasks[[#This Row],[Due]]))</f>
        <v/>
      </c>
      <c r="O660" t="str" cm="1">
        <f t="array" aca="1" ref="O6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0" t="str" cm="1">
        <f t="array" ref="P6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0" t="str" cm="1">
        <f t="array" ref="Q6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0" t="str" cm="1">
        <f t="array" ref="R6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1" spans="1:18" x14ac:dyDescent="0.25">
      <c r="A661" s="14" t="str" cm="1">
        <f t="array" ref="A661">IF(Tasks[[#This Row],[Task]]="","","T-"&amp;TEXT(ROW()-ROW(Tasks[#Headers]),"000"))</f>
        <v/>
      </c>
      <c r="B661" s="15"/>
      <c r="C661" s="15"/>
      <c r="D661" s="15"/>
      <c r="E661" s="15"/>
      <c r="F661" s="16"/>
      <c r="G661" s="16"/>
      <c r="H661" s="16"/>
      <c r="I661" s="15"/>
      <c r="J661" s="15"/>
      <c r="K6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1" s="17" t="str">
        <f>IF(Tasks[[#This Row],[Task]]="","",IFERROR(VLOOKUP(IF(Tasks[[#This Row],[Effort]]="","M",Tasks[[#This Row],[Effort]]),EffortTable,2,FALSE),0))</f>
        <v/>
      </c>
      <c r="N661" t="str">
        <f>IF(Tasks[[#This Row],[Task]]="","",IFERROR(MATCH(Tasks[[#This Row],[Status]],{"Late","Blocked","Due soon"},0),9)*100000+N(Tasks[[#This Row],[Due]]))</f>
        <v/>
      </c>
      <c r="O661" t="str" cm="1">
        <f t="array" aca="1" ref="O6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1" t="str" cm="1">
        <f t="array" ref="P6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1" t="str" cm="1">
        <f t="array" ref="Q6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1" t="str" cm="1">
        <f t="array" ref="R6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2" spans="1:18" x14ac:dyDescent="0.25">
      <c r="A662" s="14" t="str" cm="1">
        <f t="array" ref="A662">IF(Tasks[[#This Row],[Task]]="","","T-"&amp;TEXT(ROW()-ROW(Tasks[#Headers]),"000"))</f>
        <v/>
      </c>
      <c r="B662" s="15"/>
      <c r="C662" s="15"/>
      <c r="D662" s="15"/>
      <c r="E662" s="15"/>
      <c r="F662" s="16"/>
      <c r="G662" s="16"/>
      <c r="H662" s="16"/>
      <c r="I662" s="15"/>
      <c r="J662" s="15"/>
      <c r="K6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2" s="17" t="str">
        <f>IF(Tasks[[#This Row],[Task]]="","",IFERROR(VLOOKUP(IF(Tasks[[#This Row],[Effort]]="","M",Tasks[[#This Row],[Effort]]),EffortTable,2,FALSE),0))</f>
        <v/>
      </c>
      <c r="N662" t="str">
        <f>IF(Tasks[[#This Row],[Task]]="","",IFERROR(MATCH(Tasks[[#This Row],[Status]],{"Late","Blocked","Due soon"},0),9)*100000+N(Tasks[[#This Row],[Due]]))</f>
        <v/>
      </c>
      <c r="O662" t="str" cm="1">
        <f t="array" aca="1" ref="O6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2" t="str" cm="1">
        <f t="array" ref="P6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2" t="str" cm="1">
        <f t="array" ref="Q6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2" t="str" cm="1">
        <f t="array" ref="R6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3" spans="1:18" x14ac:dyDescent="0.25">
      <c r="A663" s="14" t="str" cm="1">
        <f t="array" ref="A663">IF(Tasks[[#This Row],[Task]]="","","T-"&amp;TEXT(ROW()-ROW(Tasks[#Headers]),"000"))</f>
        <v/>
      </c>
      <c r="B663" s="15"/>
      <c r="C663" s="15"/>
      <c r="D663" s="15"/>
      <c r="E663" s="15"/>
      <c r="F663" s="16"/>
      <c r="G663" s="16"/>
      <c r="H663" s="16"/>
      <c r="I663" s="15"/>
      <c r="J663" s="15"/>
      <c r="K6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3" s="17" t="str">
        <f>IF(Tasks[[#This Row],[Task]]="","",IFERROR(VLOOKUP(IF(Tasks[[#This Row],[Effort]]="","M",Tasks[[#This Row],[Effort]]),EffortTable,2,FALSE),0))</f>
        <v/>
      </c>
      <c r="N663" t="str">
        <f>IF(Tasks[[#This Row],[Task]]="","",IFERROR(MATCH(Tasks[[#This Row],[Status]],{"Late","Blocked","Due soon"},0),9)*100000+N(Tasks[[#This Row],[Due]]))</f>
        <v/>
      </c>
      <c r="O663" t="str" cm="1">
        <f t="array" aca="1" ref="O6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3" t="str" cm="1">
        <f t="array" ref="P6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3" t="str" cm="1">
        <f t="array" ref="Q6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3" t="str" cm="1">
        <f t="array" ref="R6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4" spans="1:18" x14ac:dyDescent="0.25">
      <c r="A664" s="14" t="str" cm="1">
        <f t="array" ref="A664">IF(Tasks[[#This Row],[Task]]="","","T-"&amp;TEXT(ROW()-ROW(Tasks[#Headers]),"000"))</f>
        <v/>
      </c>
      <c r="B664" s="15"/>
      <c r="C664" s="15"/>
      <c r="D664" s="15"/>
      <c r="E664" s="15"/>
      <c r="F664" s="16"/>
      <c r="G664" s="16"/>
      <c r="H664" s="16"/>
      <c r="I664" s="15"/>
      <c r="J664" s="15"/>
      <c r="K6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4" s="17" t="str">
        <f>IF(Tasks[[#This Row],[Task]]="","",IFERROR(VLOOKUP(IF(Tasks[[#This Row],[Effort]]="","M",Tasks[[#This Row],[Effort]]),EffortTable,2,FALSE),0))</f>
        <v/>
      </c>
      <c r="N664" t="str">
        <f>IF(Tasks[[#This Row],[Task]]="","",IFERROR(MATCH(Tasks[[#This Row],[Status]],{"Late","Blocked","Due soon"},0),9)*100000+N(Tasks[[#This Row],[Due]]))</f>
        <v/>
      </c>
      <c r="O664" t="str" cm="1">
        <f t="array" aca="1" ref="O6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4" t="str" cm="1">
        <f t="array" ref="P6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4" t="str" cm="1">
        <f t="array" ref="Q6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4" t="str" cm="1">
        <f t="array" ref="R6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5" spans="1:18" x14ac:dyDescent="0.25">
      <c r="A665" s="14" t="str" cm="1">
        <f t="array" ref="A665">IF(Tasks[[#This Row],[Task]]="","","T-"&amp;TEXT(ROW()-ROW(Tasks[#Headers]),"000"))</f>
        <v/>
      </c>
      <c r="B665" s="15"/>
      <c r="C665" s="15"/>
      <c r="D665" s="15"/>
      <c r="E665" s="15"/>
      <c r="F665" s="16"/>
      <c r="G665" s="16"/>
      <c r="H665" s="16"/>
      <c r="I665" s="15"/>
      <c r="J665" s="15"/>
      <c r="K6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5" s="17" t="str">
        <f>IF(Tasks[[#This Row],[Task]]="","",IFERROR(VLOOKUP(IF(Tasks[[#This Row],[Effort]]="","M",Tasks[[#This Row],[Effort]]),EffortTable,2,FALSE),0))</f>
        <v/>
      </c>
      <c r="N665" t="str">
        <f>IF(Tasks[[#This Row],[Task]]="","",IFERROR(MATCH(Tasks[[#This Row],[Status]],{"Late","Blocked","Due soon"},0),9)*100000+N(Tasks[[#This Row],[Due]]))</f>
        <v/>
      </c>
      <c r="O665" t="str" cm="1">
        <f t="array" aca="1" ref="O6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5" t="str" cm="1">
        <f t="array" ref="P6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5" t="str" cm="1">
        <f t="array" ref="Q6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5" t="str" cm="1">
        <f t="array" ref="R6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6" spans="1:18" x14ac:dyDescent="0.25">
      <c r="A666" s="14" t="str" cm="1">
        <f t="array" ref="A666">IF(Tasks[[#This Row],[Task]]="","","T-"&amp;TEXT(ROW()-ROW(Tasks[#Headers]),"000"))</f>
        <v/>
      </c>
      <c r="B666" s="15"/>
      <c r="C666" s="15"/>
      <c r="D666" s="15"/>
      <c r="E666" s="15"/>
      <c r="F666" s="16"/>
      <c r="G666" s="16"/>
      <c r="H666" s="16"/>
      <c r="I666" s="15"/>
      <c r="J666" s="15"/>
      <c r="K6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6" s="17" t="str">
        <f>IF(Tasks[[#This Row],[Task]]="","",IFERROR(VLOOKUP(IF(Tasks[[#This Row],[Effort]]="","M",Tasks[[#This Row],[Effort]]),EffortTable,2,FALSE),0))</f>
        <v/>
      </c>
      <c r="N666" t="str">
        <f>IF(Tasks[[#This Row],[Task]]="","",IFERROR(MATCH(Tasks[[#This Row],[Status]],{"Late","Blocked","Due soon"},0),9)*100000+N(Tasks[[#This Row],[Due]]))</f>
        <v/>
      </c>
      <c r="O666" t="str" cm="1">
        <f t="array" aca="1" ref="O6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6" t="str" cm="1">
        <f t="array" ref="P6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6" t="str" cm="1">
        <f t="array" ref="Q6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6" t="str" cm="1">
        <f t="array" ref="R6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7" spans="1:18" x14ac:dyDescent="0.25">
      <c r="A667" s="14" t="str" cm="1">
        <f t="array" ref="A667">IF(Tasks[[#This Row],[Task]]="","","T-"&amp;TEXT(ROW()-ROW(Tasks[#Headers]),"000"))</f>
        <v/>
      </c>
      <c r="B667" s="15"/>
      <c r="C667" s="15"/>
      <c r="D667" s="15"/>
      <c r="E667" s="15"/>
      <c r="F667" s="16"/>
      <c r="G667" s="16"/>
      <c r="H667" s="16"/>
      <c r="I667" s="15"/>
      <c r="J667" s="15"/>
      <c r="K6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7" s="17" t="str">
        <f>IF(Tasks[[#This Row],[Task]]="","",IFERROR(VLOOKUP(IF(Tasks[[#This Row],[Effort]]="","M",Tasks[[#This Row],[Effort]]),EffortTable,2,FALSE),0))</f>
        <v/>
      </c>
      <c r="N667" t="str">
        <f>IF(Tasks[[#This Row],[Task]]="","",IFERROR(MATCH(Tasks[[#This Row],[Status]],{"Late","Blocked","Due soon"},0),9)*100000+N(Tasks[[#This Row],[Due]]))</f>
        <v/>
      </c>
      <c r="O667" t="str" cm="1">
        <f t="array" aca="1" ref="O6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7" t="str" cm="1">
        <f t="array" ref="P6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7" t="str" cm="1">
        <f t="array" ref="Q6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7" t="str" cm="1">
        <f t="array" ref="R6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8" spans="1:18" x14ac:dyDescent="0.25">
      <c r="A668" s="14" t="str" cm="1">
        <f t="array" ref="A668">IF(Tasks[[#This Row],[Task]]="","","T-"&amp;TEXT(ROW()-ROW(Tasks[#Headers]),"000"))</f>
        <v/>
      </c>
      <c r="B668" s="15"/>
      <c r="C668" s="15"/>
      <c r="D668" s="15"/>
      <c r="E668" s="15"/>
      <c r="F668" s="16"/>
      <c r="G668" s="16"/>
      <c r="H668" s="16"/>
      <c r="I668" s="15"/>
      <c r="J668" s="15"/>
      <c r="K6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8" s="17" t="str">
        <f>IF(Tasks[[#This Row],[Task]]="","",IFERROR(VLOOKUP(IF(Tasks[[#This Row],[Effort]]="","M",Tasks[[#This Row],[Effort]]),EffortTable,2,FALSE),0))</f>
        <v/>
      </c>
      <c r="N668" t="str">
        <f>IF(Tasks[[#This Row],[Task]]="","",IFERROR(MATCH(Tasks[[#This Row],[Status]],{"Late","Blocked","Due soon"},0),9)*100000+N(Tasks[[#This Row],[Due]]))</f>
        <v/>
      </c>
      <c r="O668" t="str" cm="1">
        <f t="array" aca="1" ref="O6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8" t="str" cm="1">
        <f t="array" ref="P6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8" t="str" cm="1">
        <f t="array" ref="Q6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8" t="str" cm="1">
        <f t="array" ref="R6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69" spans="1:18" x14ac:dyDescent="0.25">
      <c r="A669" s="14" t="str" cm="1">
        <f t="array" ref="A669">IF(Tasks[[#This Row],[Task]]="","","T-"&amp;TEXT(ROW()-ROW(Tasks[#Headers]),"000"))</f>
        <v/>
      </c>
      <c r="B669" s="15"/>
      <c r="C669" s="15"/>
      <c r="D669" s="15"/>
      <c r="E669" s="15"/>
      <c r="F669" s="16"/>
      <c r="G669" s="16"/>
      <c r="H669" s="16"/>
      <c r="I669" s="15"/>
      <c r="J669" s="15"/>
      <c r="K6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69" s="17" t="str">
        <f>IF(Tasks[[#This Row],[Task]]="","",IFERROR(VLOOKUP(IF(Tasks[[#This Row],[Effort]]="","M",Tasks[[#This Row],[Effort]]),EffortTable,2,FALSE),0))</f>
        <v/>
      </c>
      <c r="N669" t="str">
        <f>IF(Tasks[[#This Row],[Task]]="","",IFERROR(MATCH(Tasks[[#This Row],[Status]],{"Late","Blocked","Due soon"},0),9)*100000+N(Tasks[[#This Row],[Due]]))</f>
        <v/>
      </c>
      <c r="O669" t="str" cm="1">
        <f t="array" aca="1" ref="O6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69" t="str" cm="1">
        <f t="array" ref="P6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69" t="str" cm="1">
        <f t="array" ref="Q6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69" t="str" cm="1">
        <f t="array" ref="R6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0" spans="1:18" x14ac:dyDescent="0.25">
      <c r="A670" s="14" t="str" cm="1">
        <f t="array" ref="A670">IF(Tasks[[#This Row],[Task]]="","","T-"&amp;TEXT(ROW()-ROW(Tasks[#Headers]),"000"))</f>
        <v/>
      </c>
      <c r="B670" s="15"/>
      <c r="C670" s="15"/>
      <c r="D670" s="15"/>
      <c r="E670" s="15"/>
      <c r="F670" s="16"/>
      <c r="G670" s="16"/>
      <c r="H670" s="16"/>
      <c r="I670" s="15"/>
      <c r="J670" s="15"/>
      <c r="K6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0" s="17" t="str">
        <f>IF(Tasks[[#This Row],[Task]]="","",IFERROR(VLOOKUP(IF(Tasks[[#This Row],[Effort]]="","M",Tasks[[#This Row],[Effort]]),EffortTable,2,FALSE),0))</f>
        <v/>
      </c>
      <c r="N670" t="str">
        <f>IF(Tasks[[#This Row],[Task]]="","",IFERROR(MATCH(Tasks[[#This Row],[Status]],{"Late","Blocked","Due soon"},0),9)*100000+N(Tasks[[#This Row],[Due]]))</f>
        <v/>
      </c>
      <c r="O670" t="str" cm="1">
        <f t="array" aca="1" ref="O6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0" t="str" cm="1">
        <f t="array" ref="P6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0" t="str" cm="1">
        <f t="array" ref="Q6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0" t="str" cm="1">
        <f t="array" ref="R6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1" spans="1:18" x14ac:dyDescent="0.25">
      <c r="A671" s="14" t="str" cm="1">
        <f t="array" ref="A671">IF(Tasks[[#This Row],[Task]]="","","T-"&amp;TEXT(ROW()-ROW(Tasks[#Headers]),"000"))</f>
        <v/>
      </c>
      <c r="B671" s="15"/>
      <c r="C671" s="15"/>
      <c r="D671" s="15"/>
      <c r="E671" s="15"/>
      <c r="F671" s="16"/>
      <c r="G671" s="16"/>
      <c r="H671" s="16"/>
      <c r="I671" s="15"/>
      <c r="J671" s="15"/>
      <c r="K6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1" s="17" t="str">
        <f>IF(Tasks[[#This Row],[Task]]="","",IFERROR(VLOOKUP(IF(Tasks[[#This Row],[Effort]]="","M",Tasks[[#This Row],[Effort]]),EffortTable,2,FALSE),0))</f>
        <v/>
      </c>
      <c r="N671" t="str">
        <f>IF(Tasks[[#This Row],[Task]]="","",IFERROR(MATCH(Tasks[[#This Row],[Status]],{"Late","Blocked","Due soon"},0),9)*100000+N(Tasks[[#This Row],[Due]]))</f>
        <v/>
      </c>
      <c r="O671" t="str" cm="1">
        <f t="array" aca="1" ref="O6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1" t="str" cm="1">
        <f t="array" ref="P6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1" t="str" cm="1">
        <f t="array" ref="Q6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1" t="str" cm="1">
        <f t="array" ref="R6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2" spans="1:18" x14ac:dyDescent="0.25">
      <c r="A672" s="14" t="str" cm="1">
        <f t="array" ref="A672">IF(Tasks[[#This Row],[Task]]="","","T-"&amp;TEXT(ROW()-ROW(Tasks[#Headers]),"000"))</f>
        <v/>
      </c>
      <c r="B672" s="15"/>
      <c r="C672" s="15"/>
      <c r="D672" s="15"/>
      <c r="E672" s="15"/>
      <c r="F672" s="16"/>
      <c r="G672" s="16"/>
      <c r="H672" s="16"/>
      <c r="I672" s="15"/>
      <c r="J672" s="15"/>
      <c r="K6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2" s="17" t="str">
        <f>IF(Tasks[[#This Row],[Task]]="","",IFERROR(VLOOKUP(IF(Tasks[[#This Row],[Effort]]="","M",Tasks[[#This Row],[Effort]]),EffortTable,2,FALSE),0))</f>
        <v/>
      </c>
      <c r="N672" t="str">
        <f>IF(Tasks[[#This Row],[Task]]="","",IFERROR(MATCH(Tasks[[#This Row],[Status]],{"Late","Blocked","Due soon"},0),9)*100000+N(Tasks[[#This Row],[Due]]))</f>
        <v/>
      </c>
      <c r="O672" t="str" cm="1">
        <f t="array" aca="1" ref="O6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2" t="str" cm="1">
        <f t="array" ref="P6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2" t="str" cm="1">
        <f t="array" ref="Q6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2" t="str" cm="1">
        <f t="array" ref="R6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3" spans="1:18" x14ac:dyDescent="0.25">
      <c r="A673" s="14" t="str" cm="1">
        <f t="array" ref="A673">IF(Tasks[[#This Row],[Task]]="","","T-"&amp;TEXT(ROW()-ROW(Tasks[#Headers]),"000"))</f>
        <v/>
      </c>
      <c r="B673" s="15"/>
      <c r="C673" s="15"/>
      <c r="D673" s="15"/>
      <c r="E673" s="15"/>
      <c r="F673" s="16"/>
      <c r="G673" s="16"/>
      <c r="H673" s="16"/>
      <c r="I673" s="15"/>
      <c r="J673" s="15"/>
      <c r="K6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3" s="17" t="str">
        <f>IF(Tasks[[#This Row],[Task]]="","",IFERROR(VLOOKUP(IF(Tasks[[#This Row],[Effort]]="","M",Tasks[[#This Row],[Effort]]),EffortTable,2,FALSE),0))</f>
        <v/>
      </c>
      <c r="N673" t="str">
        <f>IF(Tasks[[#This Row],[Task]]="","",IFERROR(MATCH(Tasks[[#This Row],[Status]],{"Late","Blocked","Due soon"},0),9)*100000+N(Tasks[[#This Row],[Due]]))</f>
        <v/>
      </c>
      <c r="O673" t="str" cm="1">
        <f t="array" aca="1" ref="O6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3" t="str" cm="1">
        <f t="array" ref="P6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3" t="str" cm="1">
        <f t="array" ref="Q6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3" t="str" cm="1">
        <f t="array" ref="R6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4" spans="1:18" x14ac:dyDescent="0.25">
      <c r="A674" s="14" t="str" cm="1">
        <f t="array" ref="A674">IF(Tasks[[#This Row],[Task]]="","","T-"&amp;TEXT(ROW()-ROW(Tasks[#Headers]),"000"))</f>
        <v/>
      </c>
      <c r="B674" s="15"/>
      <c r="C674" s="15"/>
      <c r="D674" s="15"/>
      <c r="E674" s="15"/>
      <c r="F674" s="16"/>
      <c r="G674" s="16"/>
      <c r="H674" s="16"/>
      <c r="I674" s="15"/>
      <c r="J674" s="15"/>
      <c r="K6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4" s="17" t="str">
        <f>IF(Tasks[[#This Row],[Task]]="","",IFERROR(VLOOKUP(IF(Tasks[[#This Row],[Effort]]="","M",Tasks[[#This Row],[Effort]]),EffortTable,2,FALSE),0))</f>
        <v/>
      </c>
      <c r="N674" t="str">
        <f>IF(Tasks[[#This Row],[Task]]="","",IFERROR(MATCH(Tasks[[#This Row],[Status]],{"Late","Blocked","Due soon"},0),9)*100000+N(Tasks[[#This Row],[Due]]))</f>
        <v/>
      </c>
      <c r="O674" t="str" cm="1">
        <f t="array" aca="1" ref="O6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4" t="str" cm="1">
        <f t="array" ref="P6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4" t="str" cm="1">
        <f t="array" ref="Q6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4" t="str" cm="1">
        <f t="array" ref="R6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5" spans="1:18" x14ac:dyDescent="0.25">
      <c r="A675" s="14" t="str" cm="1">
        <f t="array" ref="A675">IF(Tasks[[#This Row],[Task]]="","","T-"&amp;TEXT(ROW()-ROW(Tasks[#Headers]),"000"))</f>
        <v/>
      </c>
      <c r="B675" s="15"/>
      <c r="C675" s="15"/>
      <c r="D675" s="15"/>
      <c r="E675" s="15"/>
      <c r="F675" s="16"/>
      <c r="G675" s="16"/>
      <c r="H675" s="16"/>
      <c r="I675" s="15"/>
      <c r="J675" s="15"/>
      <c r="K6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5" s="17" t="str">
        <f>IF(Tasks[[#This Row],[Task]]="","",IFERROR(VLOOKUP(IF(Tasks[[#This Row],[Effort]]="","M",Tasks[[#This Row],[Effort]]),EffortTable,2,FALSE),0))</f>
        <v/>
      </c>
      <c r="N675" t="str">
        <f>IF(Tasks[[#This Row],[Task]]="","",IFERROR(MATCH(Tasks[[#This Row],[Status]],{"Late","Blocked","Due soon"},0),9)*100000+N(Tasks[[#This Row],[Due]]))</f>
        <v/>
      </c>
      <c r="O675" t="str" cm="1">
        <f t="array" aca="1" ref="O6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5" t="str" cm="1">
        <f t="array" ref="P6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5" t="str" cm="1">
        <f t="array" ref="Q6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5" t="str" cm="1">
        <f t="array" ref="R6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6" spans="1:18" x14ac:dyDescent="0.25">
      <c r="A676" s="14" t="str" cm="1">
        <f t="array" ref="A676">IF(Tasks[[#This Row],[Task]]="","","T-"&amp;TEXT(ROW()-ROW(Tasks[#Headers]),"000"))</f>
        <v/>
      </c>
      <c r="B676" s="15"/>
      <c r="C676" s="15"/>
      <c r="D676" s="15"/>
      <c r="E676" s="15"/>
      <c r="F676" s="16"/>
      <c r="G676" s="16"/>
      <c r="H676" s="16"/>
      <c r="I676" s="15"/>
      <c r="J676" s="15"/>
      <c r="K6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6" s="17" t="str">
        <f>IF(Tasks[[#This Row],[Task]]="","",IFERROR(VLOOKUP(IF(Tasks[[#This Row],[Effort]]="","M",Tasks[[#This Row],[Effort]]),EffortTable,2,FALSE),0))</f>
        <v/>
      </c>
      <c r="N676" t="str">
        <f>IF(Tasks[[#This Row],[Task]]="","",IFERROR(MATCH(Tasks[[#This Row],[Status]],{"Late","Blocked","Due soon"},0),9)*100000+N(Tasks[[#This Row],[Due]]))</f>
        <v/>
      </c>
      <c r="O676" t="str" cm="1">
        <f t="array" aca="1" ref="O6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6" t="str" cm="1">
        <f t="array" ref="P6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6" t="str" cm="1">
        <f t="array" ref="Q6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6" t="str" cm="1">
        <f t="array" ref="R6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7" spans="1:18" x14ac:dyDescent="0.25">
      <c r="A677" s="14" t="str" cm="1">
        <f t="array" ref="A677">IF(Tasks[[#This Row],[Task]]="","","T-"&amp;TEXT(ROW()-ROW(Tasks[#Headers]),"000"))</f>
        <v/>
      </c>
      <c r="B677" s="15"/>
      <c r="C677" s="15"/>
      <c r="D677" s="15"/>
      <c r="E677" s="15"/>
      <c r="F677" s="16"/>
      <c r="G677" s="16"/>
      <c r="H677" s="16"/>
      <c r="I677" s="15"/>
      <c r="J677" s="15"/>
      <c r="K6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7" s="17" t="str">
        <f>IF(Tasks[[#This Row],[Task]]="","",IFERROR(VLOOKUP(IF(Tasks[[#This Row],[Effort]]="","M",Tasks[[#This Row],[Effort]]),EffortTable,2,FALSE),0))</f>
        <v/>
      </c>
      <c r="N677" t="str">
        <f>IF(Tasks[[#This Row],[Task]]="","",IFERROR(MATCH(Tasks[[#This Row],[Status]],{"Late","Blocked","Due soon"},0),9)*100000+N(Tasks[[#This Row],[Due]]))</f>
        <v/>
      </c>
      <c r="O677" t="str" cm="1">
        <f t="array" aca="1" ref="O6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7" t="str" cm="1">
        <f t="array" ref="P6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7" t="str" cm="1">
        <f t="array" ref="Q6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7" t="str" cm="1">
        <f t="array" ref="R6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8" spans="1:18" x14ac:dyDescent="0.25">
      <c r="A678" s="14" t="str" cm="1">
        <f t="array" ref="A678">IF(Tasks[[#This Row],[Task]]="","","T-"&amp;TEXT(ROW()-ROW(Tasks[#Headers]),"000"))</f>
        <v/>
      </c>
      <c r="B678" s="15"/>
      <c r="C678" s="15"/>
      <c r="D678" s="15"/>
      <c r="E678" s="15"/>
      <c r="F678" s="16"/>
      <c r="G678" s="16"/>
      <c r="H678" s="16"/>
      <c r="I678" s="15"/>
      <c r="J678" s="15"/>
      <c r="K6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8" s="17" t="str">
        <f>IF(Tasks[[#This Row],[Task]]="","",IFERROR(VLOOKUP(IF(Tasks[[#This Row],[Effort]]="","M",Tasks[[#This Row],[Effort]]),EffortTable,2,FALSE),0))</f>
        <v/>
      </c>
      <c r="N678" t="str">
        <f>IF(Tasks[[#This Row],[Task]]="","",IFERROR(MATCH(Tasks[[#This Row],[Status]],{"Late","Blocked","Due soon"},0),9)*100000+N(Tasks[[#This Row],[Due]]))</f>
        <v/>
      </c>
      <c r="O678" t="str" cm="1">
        <f t="array" aca="1" ref="O6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8" t="str" cm="1">
        <f t="array" ref="P6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8" t="str" cm="1">
        <f t="array" ref="Q6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8" t="str" cm="1">
        <f t="array" ref="R6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79" spans="1:18" x14ac:dyDescent="0.25">
      <c r="A679" s="14" t="str" cm="1">
        <f t="array" ref="A679">IF(Tasks[[#This Row],[Task]]="","","T-"&amp;TEXT(ROW()-ROW(Tasks[#Headers]),"000"))</f>
        <v/>
      </c>
      <c r="B679" s="15"/>
      <c r="C679" s="15"/>
      <c r="D679" s="15"/>
      <c r="E679" s="15"/>
      <c r="F679" s="16"/>
      <c r="G679" s="16"/>
      <c r="H679" s="16"/>
      <c r="I679" s="15"/>
      <c r="J679" s="15"/>
      <c r="K6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79" s="17" t="str">
        <f>IF(Tasks[[#This Row],[Task]]="","",IFERROR(VLOOKUP(IF(Tasks[[#This Row],[Effort]]="","M",Tasks[[#This Row],[Effort]]),EffortTable,2,FALSE),0))</f>
        <v/>
      </c>
      <c r="N679" t="str">
        <f>IF(Tasks[[#This Row],[Task]]="","",IFERROR(MATCH(Tasks[[#This Row],[Status]],{"Late","Blocked","Due soon"},0),9)*100000+N(Tasks[[#This Row],[Due]]))</f>
        <v/>
      </c>
      <c r="O679" t="str" cm="1">
        <f t="array" aca="1" ref="O6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79" t="str" cm="1">
        <f t="array" ref="P6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79" t="str" cm="1">
        <f t="array" ref="Q6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79" t="str" cm="1">
        <f t="array" ref="R6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0" spans="1:18" x14ac:dyDescent="0.25">
      <c r="A680" s="14" t="str" cm="1">
        <f t="array" ref="A680">IF(Tasks[[#This Row],[Task]]="","","T-"&amp;TEXT(ROW()-ROW(Tasks[#Headers]),"000"))</f>
        <v/>
      </c>
      <c r="B680" s="15"/>
      <c r="C680" s="15"/>
      <c r="D680" s="15"/>
      <c r="E680" s="15"/>
      <c r="F680" s="16"/>
      <c r="G680" s="16"/>
      <c r="H680" s="16"/>
      <c r="I680" s="15"/>
      <c r="J680" s="15"/>
      <c r="K6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0" s="17" t="str">
        <f>IF(Tasks[[#This Row],[Task]]="","",IFERROR(VLOOKUP(IF(Tasks[[#This Row],[Effort]]="","M",Tasks[[#This Row],[Effort]]),EffortTable,2,FALSE),0))</f>
        <v/>
      </c>
      <c r="N680" t="str">
        <f>IF(Tasks[[#This Row],[Task]]="","",IFERROR(MATCH(Tasks[[#This Row],[Status]],{"Late","Blocked","Due soon"},0),9)*100000+N(Tasks[[#This Row],[Due]]))</f>
        <v/>
      </c>
      <c r="O680" t="str" cm="1">
        <f t="array" aca="1" ref="O6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0" t="str" cm="1">
        <f t="array" ref="P6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0" t="str" cm="1">
        <f t="array" ref="Q6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0" t="str" cm="1">
        <f t="array" ref="R6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1" spans="1:18" x14ac:dyDescent="0.25">
      <c r="A681" s="14" t="str" cm="1">
        <f t="array" ref="A681">IF(Tasks[[#This Row],[Task]]="","","T-"&amp;TEXT(ROW()-ROW(Tasks[#Headers]),"000"))</f>
        <v/>
      </c>
      <c r="B681" s="15"/>
      <c r="C681" s="15"/>
      <c r="D681" s="15"/>
      <c r="E681" s="15"/>
      <c r="F681" s="16"/>
      <c r="G681" s="16"/>
      <c r="H681" s="16"/>
      <c r="I681" s="15"/>
      <c r="J681" s="15"/>
      <c r="K6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1" s="17" t="str">
        <f>IF(Tasks[[#This Row],[Task]]="","",IFERROR(VLOOKUP(IF(Tasks[[#This Row],[Effort]]="","M",Tasks[[#This Row],[Effort]]),EffortTable,2,FALSE),0))</f>
        <v/>
      </c>
      <c r="N681" t="str">
        <f>IF(Tasks[[#This Row],[Task]]="","",IFERROR(MATCH(Tasks[[#This Row],[Status]],{"Late","Blocked","Due soon"},0),9)*100000+N(Tasks[[#This Row],[Due]]))</f>
        <v/>
      </c>
      <c r="O681" t="str" cm="1">
        <f t="array" aca="1" ref="O6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1" t="str" cm="1">
        <f t="array" ref="P6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1" t="str" cm="1">
        <f t="array" ref="Q6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1" t="str" cm="1">
        <f t="array" ref="R6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2" spans="1:18" x14ac:dyDescent="0.25">
      <c r="A682" s="14" t="str" cm="1">
        <f t="array" ref="A682">IF(Tasks[[#This Row],[Task]]="","","T-"&amp;TEXT(ROW()-ROW(Tasks[#Headers]),"000"))</f>
        <v/>
      </c>
      <c r="B682" s="15"/>
      <c r="C682" s="15"/>
      <c r="D682" s="15"/>
      <c r="E682" s="15"/>
      <c r="F682" s="16"/>
      <c r="G682" s="16"/>
      <c r="H682" s="16"/>
      <c r="I682" s="15"/>
      <c r="J682" s="15"/>
      <c r="K6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2" s="17" t="str">
        <f>IF(Tasks[[#This Row],[Task]]="","",IFERROR(VLOOKUP(IF(Tasks[[#This Row],[Effort]]="","M",Tasks[[#This Row],[Effort]]),EffortTable,2,FALSE),0))</f>
        <v/>
      </c>
      <c r="N682" t="str">
        <f>IF(Tasks[[#This Row],[Task]]="","",IFERROR(MATCH(Tasks[[#This Row],[Status]],{"Late","Blocked","Due soon"},0),9)*100000+N(Tasks[[#This Row],[Due]]))</f>
        <v/>
      </c>
      <c r="O682" t="str" cm="1">
        <f t="array" aca="1" ref="O6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2" t="str" cm="1">
        <f t="array" ref="P6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2" t="str" cm="1">
        <f t="array" ref="Q6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2" t="str" cm="1">
        <f t="array" ref="R6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3" spans="1:18" x14ac:dyDescent="0.25">
      <c r="A683" s="14" t="str" cm="1">
        <f t="array" ref="A683">IF(Tasks[[#This Row],[Task]]="","","T-"&amp;TEXT(ROW()-ROW(Tasks[#Headers]),"000"))</f>
        <v/>
      </c>
      <c r="B683" s="15"/>
      <c r="C683" s="15"/>
      <c r="D683" s="15"/>
      <c r="E683" s="15"/>
      <c r="F683" s="16"/>
      <c r="G683" s="16"/>
      <c r="H683" s="16"/>
      <c r="I683" s="15"/>
      <c r="J683" s="15"/>
      <c r="K6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3" s="17" t="str">
        <f>IF(Tasks[[#This Row],[Task]]="","",IFERROR(VLOOKUP(IF(Tasks[[#This Row],[Effort]]="","M",Tasks[[#This Row],[Effort]]),EffortTable,2,FALSE),0))</f>
        <v/>
      </c>
      <c r="N683" t="str">
        <f>IF(Tasks[[#This Row],[Task]]="","",IFERROR(MATCH(Tasks[[#This Row],[Status]],{"Late","Blocked","Due soon"},0),9)*100000+N(Tasks[[#This Row],[Due]]))</f>
        <v/>
      </c>
      <c r="O683" t="str" cm="1">
        <f t="array" aca="1" ref="O6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3" t="str" cm="1">
        <f t="array" ref="P6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3" t="str" cm="1">
        <f t="array" ref="Q6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3" t="str" cm="1">
        <f t="array" ref="R6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4" spans="1:18" x14ac:dyDescent="0.25">
      <c r="A684" s="14" t="str" cm="1">
        <f t="array" ref="A684">IF(Tasks[[#This Row],[Task]]="","","T-"&amp;TEXT(ROW()-ROW(Tasks[#Headers]),"000"))</f>
        <v/>
      </c>
      <c r="B684" s="15"/>
      <c r="C684" s="15"/>
      <c r="D684" s="15"/>
      <c r="E684" s="15"/>
      <c r="F684" s="16"/>
      <c r="G684" s="16"/>
      <c r="H684" s="16"/>
      <c r="I684" s="15"/>
      <c r="J684" s="15"/>
      <c r="K6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4" s="17" t="str">
        <f>IF(Tasks[[#This Row],[Task]]="","",IFERROR(VLOOKUP(IF(Tasks[[#This Row],[Effort]]="","M",Tasks[[#This Row],[Effort]]),EffortTable,2,FALSE),0))</f>
        <v/>
      </c>
      <c r="N684" t="str">
        <f>IF(Tasks[[#This Row],[Task]]="","",IFERROR(MATCH(Tasks[[#This Row],[Status]],{"Late","Blocked","Due soon"},0),9)*100000+N(Tasks[[#This Row],[Due]]))</f>
        <v/>
      </c>
      <c r="O684" t="str" cm="1">
        <f t="array" aca="1" ref="O6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4" t="str" cm="1">
        <f t="array" ref="P6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4" t="str" cm="1">
        <f t="array" ref="Q6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4" t="str" cm="1">
        <f t="array" ref="R6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5" spans="1:18" x14ac:dyDescent="0.25">
      <c r="A685" s="14" t="str" cm="1">
        <f t="array" ref="A685">IF(Tasks[[#This Row],[Task]]="","","T-"&amp;TEXT(ROW()-ROW(Tasks[#Headers]),"000"))</f>
        <v/>
      </c>
      <c r="B685" s="15"/>
      <c r="C685" s="15"/>
      <c r="D685" s="15"/>
      <c r="E685" s="15"/>
      <c r="F685" s="16"/>
      <c r="G685" s="16"/>
      <c r="H685" s="16"/>
      <c r="I685" s="15"/>
      <c r="J685" s="15"/>
      <c r="K6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5" s="17" t="str">
        <f>IF(Tasks[[#This Row],[Task]]="","",IFERROR(VLOOKUP(IF(Tasks[[#This Row],[Effort]]="","M",Tasks[[#This Row],[Effort]]),EffortTable,2,FALSE),0))</f>
        <v/>
      </c>
      <c r="N685" t="str">
        <f>IF(Tasks[[#This Row],[Task]]="","",IFERROR(MATCH(Tasks[[#This Row],[Status]],{"Late","Blocked","Due soon"},0),9)*100000+N(Tasks[[#This Row],[Due]]))</f>
        <v/>
      </c>
      <c r="O685" t="str" cm="1">
        <f t="array" aca="1" ref="O6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5" t="str" cm="1">
        <f t="array" ref="P6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5" t="str" cm="1">
        <f t="array" ref="Q6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5" t="str" cm="1">
        <f t="array" ref="R6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6" spans="1:18" x14ac:dyDescent="0.25">
      <c r="A686" s="14" t="str" cm="1">
        <f t="array" ref="A686">IF(Tasks[[#This Row],[Task]]="","","T-"&amp;TEXT(ROW()-ROW(Tasks[#Headers]),"000"))</f>
        <v/>
      </c>
      <c r="B686" s="15"/>
      <c r="C686" s="15"/>
      <c r="D686" s="15"/>
      <c r="E686" s="15"/>
      <c r="F686" s="16"/>
      <c r="G686" s="16"/>
      <c r="H686" s="16"/>
      <c r="I686" s="15"/>
      <c r="J686" s="15"/>
      <c r="K6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6" s="17" t="str">
        <f>IF(Tasks[[#This Row],[Task]]="","",IFERROR(VLOOKUP(IF(Tasks[[#This Row],[Effort]]="","M",Tasks[[#This Row],[Effort]]),EffortTable,2,FALSE),0))</f>
        <v/>
      </c>
      <c r="N686" t="str">
        <f>IF(Tasks[[#This Row],[Task]]="","",IFERROR(MATCH(Tasks[[#This Row],[Status]],{"Late","Blocked","Due soon"},0),9)*100000+N(Tasks[[#This Row],[Due]]))</f>
        <v/>
      </c>
      <c r="O686" t="str" cm="1">
        <f t="array" aca="1" ref="O6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6" t="str" cm="1">
        <f t="array" ref="P6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6" t="str" cm="1">
        <f t="array" ref="Q6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6" t="str" cm="1">
        <f t="array" ref="R6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7" spans="1:18" x14ac:dyDescent="0.25">
      <c r="A687" s="14" t="str" cm="1">
        <f t="array" ref="A687">IF(Tasks[[#This Row],[Task]]="","","T-"&amp;TEXT(ROW()-ROW(Tasks[#Headers]),"000"))</f>
        <v/>
      </c>
      <c r="B687" s="15"/>
      <c r="C687" s="15"/>
      <c r="D687" s="15"/>
      <c r="E687" s="15"/>
      <c r="F687" s="16"/>
      <c r="G687" s="16"/>
      <c r="H687" s="16"/>
      <c r="I687" s="15"/>
      <c r="J687" s="15"/>
      <c r="K6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7" s="17" t="str">
        <f>IF(Tasks[[#This Row],[Task]]="","",IFERROR(VLOOKUP(IF(Tasks[[#This Row],[Effort]]="","M",Tasks[[#This Row],[Effort]]),EffortTable,2,FALSE),0))</f>
        <v/>
      </c>
      <c r="N687" t="str">
        <f>IF(Tasks[[#This Row],[Task]]="","",IFERROR(MATCH(Tasks[[#This Row],[Status]],{"Late","Blocked","Due soon"},0),9)*100000+N(Tasks[[#This Row],[Due]]))</f>
        <v/>
      </c>
      <c r="O687" t="str" cm="1">
        <f t="array" aca="1" ref="O6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7" t="str" cm="1">
        <f t="array" ref="P6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7" t="str" cm="1">
        <f t="array" ref="Q6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7" t="str" cm="1">
        <f t="array" ref="R6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8" spans="1:18" x14ac:dyDescent="0.25">
      <c r="A688" s="14" t="str" cm="1">
        <f t="array" ref="A688">IF(Tasks[[#This Row],[Task]]="","","T-"&amp;TEXT(ROW()-ROW(Tasks[#Headers]),"000"))</f>
        <v/>
      </c>
      <c r="B688" s="15"/>
      <c r="C688" s="15"/>
      <c r="D688" s="15"/>
      <c r="E688" s="15"/>
      <c r="F688" s="16"/>
      <c r="G688" s="16"/>
      <c r="H688" s="16"/>
      <c r="I688" s="15"/>
      <c r="J688" s="15"/>
      <c r="K6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8" s="17" t="str">
        <f>IF(Tasks[[#This Row],[Task]]="","",IFERROR(VLOOKUP(IF(Tasks[[#This Row],[Effort]]="","M",Tasks[[#This Row],[Effort]]),EffortTable,2,FALSE),0))</f>
        <v/>
      </c>
      <c r="N688" t="str">
        <f>IF(Tasks[[#This Row],[Task]]="","",IFERROR(MATCH(Tasks[[#This Row],[Status]],{"Late","Blocked","Due soon"},0),9)*100000+N(Tasks[[#This Row],[Due]]))</f>
        <v/>
      </c>
      <c r="O688" t="str" cm="1">
        <f t="array" aca="1" ref="O6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8" t="str" cm="1">
        <f t="array" ref="P6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8" t="str" cm="1">
        <f t="array" ref="Q6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8" t="str" cm="1">
        <f t="array" ref="R6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89" spans="1:18" x14ac:dyDescent="0.25">
      <c r="A689" s="14" t="str" cm="1">
        <f t="array" ref="A689">IF(Tasks[[#This Row],[Task]]="","","T-"&amp;TEXT(ROW()-ROW(Tasks[#Headers]),"000"))</f>
        <v/>
      </c>
      <c r="B689" s="15"/>
      <c r="C689" s="15"/>
      <c r="D689" s="15"/>
      <c r="E689" s="15"/>
      <c r="F689" s="16"/>
      <c r="G689" s="16"/>
      <c r="H689" s="16"/>
      <c r="I689" s="15"/>
      <c r="J689" s="15"/>
      <c r="K6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89" s="17" t="str">
        <f>IF(Tasks[[#This Row],[Task]]="","",IFERROR(VLOOKUP(IF(Tasks[[#This Row],[Effort]]="","M",Tasks[[#This Row],[Effort]]),EffortTable,2,FALSE),0))</f>
        <v/>
      </c>
      <c r="N689" t="str">
        <f>IF(Tasks[[#This Row],[Task]]="","",IFERROR(MATCH(Tasks[[#This Row],[Status]],{"Late","Blocked","Due soon"},0),9)*100000+N(Tasks[[#This Row],[Due]]))</f>
        <v/>
      </c>
      <c r="O689" t="str" cm="1">
        <f t="array" aca="1" ref="O6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89" t="str" cm="1">
        <f t="array" ref="P6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89" t="str" cm="1">
        <f t="array" ref="Q6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89" t="str" cm="1">
        <f t="array" ref="R6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0" spans="1:18" x14ac:dyDescent="0.25">
      <c r="A690" s="14" t="str" cm="1">
        <f t="array" ref="A690">IF(Tasks[[#This Row],[Task]]="","","T-"&amp;TEXT(ROW()-ROW(Tasks[#Headers]),"000"))</f>
        <v/>
      </c>
      <c r="B690" s="15"/>
      <c r="C690" s="15"/>
      <c r="D690" s="15"/>
      <c r="E690" s="15"/>
      <c r="F690" s="16"/>
      <c r="G690" s="16"/>
      <c r="H690" s="16"/>
      <c r="I690" s="15"/>
      <c r="J690" s="15"/>
      <c r="K6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0" s="17" t="str">
        <f>IF(Tasks[[#This Row],[Task]]="","",IFERROR(VLOOKUP(IF(Tasks[[#This Row],[Effort]]="","M",Tasks[[#This Row],[Effort]]),EffortTable,2,FALSE),0))</f>
        <v/>
      </c>
      <c r="N690" t="str">
        <f>IF(Tasks[[#This Row],[Task]]="","",IFERROR(MATCH(Tasks[[#This Row],[Status]],{"Late","Blocked","Due soon"},0),9)*100000+N(Tasks[[#This Row],[Due]]))</f>
        <v/>
      </c>
      <c r="O690" t="str" cm="1">
        <f t="array" aca="1" ref="O6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0" t="str" cm="1">
        <f t="array" ref="P6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0" t="str" cm="1">
        <f t="array" ref="Q6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0" t="str" cm="1">
        <f t="array" ref="R6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1" spans="1:18" x14ac:dyDescent="0.25">
      <c r="A691" s="14" t="str" cm="1">
        <f t="array" ref="A691">IF(Tasks[[#This Row],[Task]]="","","T-"&amp;TEXT(ROW()-ROW(Tasks[#Headers]),"000"))</f>
        <v/>
      </c>
      <c r="B691" s="15"/>
      <c r="C691" s="15"/>
      <c r="D691" s="15"/>
      <c r="E691" s="15"/>
      <c r="F691" s="16"/>
      <c r="G691" s="16"/>
      <c r="H691" s="16"/>
      <c r="I691" s="15"/>
      <c r="J691" s="15"/>
      <c r="K6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1" s="17" t="str">
        <f>IF(Tasks[[#This Row],[Task]]="","",IFERROR(VLOOKUP(IF(Tasks[[#This Row],[Effort]]="","M",Tasks[[#This Row],[Effort]]),EffortTable,2,FALSE),0))</f>
        <v/>
      </c>
      <c r="N691" t="str">
        <f>IF(Tasks[[#This Row],[Task]]="","",IFERROR(MATCH(Tasks[[#This Row],[Status]],{"Late","Blocked","Due soon"},0),9)*100000+N(Tasks[[#This Row],[Due]]))</f>
        <v/>
      </c>
      <c r="O691" t="str" cm="1">
        <f t="array" aca="1" ref="O6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1" t="str" cm="1">
        <f t="array" ref="P6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1" t="str" cm="1">
        <f t="array" ref="Q6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1" t="str" cm="1">
        <f t="array" ref="R6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2" spans="1:18" x14ac:dyDescent="0.25">
      <c r="A692" s="14" t="str" cm="1">
        <f t="array" ref="A692">IF(Tasks[[#This Row],[Task]]="","","T-"&amp;TEXT(ROW()-ROW(Tasks[#Headers]),"000"))</f>
        <v/>
      </c>
      <c r="B692" s="15"/>
      <c r="C692" s="15"/>
      <c r="D692" s="15"/>
      <c r="E692" s="15"/>
      <c r="F692" s="16"/>
      <c r="G692" s="16"/>
      <c r="H692" s="16"/>
      <c r="I692" s="15"/>
      <c r="J692" s="15"/>
      <c r="K6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2" s="17" t="str">
        <f>IF(Tasks[[#This Row],[Task]]="","",IFERROR(VLOOKUP(IF(Tasks[[#This Row],[Effort]]="","M",Tasks[[#This Row],[Effort]]),EffortTable,2,FALSE),0))</f>
        <v/>
      </c>
      <c r="N692" t="str">
        <f>IF(Tasks[[#This Row],[Task]]="","",IFERROR(MATCH(Tasks[[#This Row],[Status]],{"Late","Blocked","Due soon"},0),9)*100000+N(Tasks[[#This Row],[Due]]))</f>
        <v/>
      </c>
      <c r="O692" t="str" cm="1">
        <f t="array" aca="1" ref="O6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2" t="str" cm="1">
        <f t="array" ref="P6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2" t="str" cm="1">
        <f t="array" ref="Q6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2" t="str" cm="1">
        <f t="array" ref="R6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3" spans="1:18" x14ac:dyDescent="0.25">
      <c r="A693" s="14" t="str" cm="1">
        <f t="array" ref="A693">IF(Tasks[[#This Row],[Task]]="","","T-"&amp;TEXT(ROW()-ROW(Tasks[#Headers]),"000"))</f>
        <v/>
      </c>
      <c r="B693" s="15"/>
      <c r="C693" s="15"/>
      <c r="D693" s="15"/>
      <c r="E693" s="15"/>
      <c r="F693" s="16"/>
      <c r="G693" s="16"/>
      <c r="H693" s="16"/>
      <c r="I693" s="15"/>
      <c r="J693" s="15"/>
      <c r="K6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3" s="17" t="str">
        <f>IF(Tasks[[#This Row],[Task]]="","",IFERROR(VLOOKUP(IF(Tasks[[#This Row],[Effort]]="","M",Tasks[[#This Row],[Effort]]),EffortTable,2,FALSE),0))</f>
        <v/>
      </c>
      <c r="N693" t="str">
        <f>IF(Tasks[[#This Row],[Task]]="","",IFERROR(MATCH(Tasks[[#This Row],[Status]],{"Late","Blocked","Due soon"},0),9)*100000+N(Tasks[[#This Row],[Due]]))</f>
        <v/>
      </c>
      <c r="O693" t="str" cm="1">
        <f t="array" aca="1" ref="O6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3" t="str" cm="1">
        <f t="array" ref="P6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3" t="str" cm="1">
        <f t="array" ref="Q6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3" t="str" cm="1">
        <f t="array" ref="R6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4" spans="1:18" x14ac:dyDescent="0.25">
      <c r="A694" s="14" t="str" cm="1">
        <f t="array" ref="A694">IF(Tasks[[#This Row],[Task]]="","","T-"&amp;TEXT(ROW()-ROW(Tasks[#Headers]),"000"))</f>
        <v/>
      </c>
      <c r="B694" s="15"/>
      <c r="C694" s="15"/>
      <c r="D694" s="15"/>
      <c r="E694" s="15"/>
      <c r="F694" s="16"/>
      <c r="G694" s="16"/>
      <c r="H694" s="16"/>
      <c r="I694" s="15"/>
      <c r="J694" s="15"/>
      <c r="K6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4" s="17" t="str">
        <f>IF(Tasks[[#This Row],[Task]]="","",IFERROR(VLOOKUP(IF(Tasks[[#This Row],[Effort]]="","M",Tasks[[#This Row],[Effort]]),EffortTable,2,FALSE),0))</f>
        <v/>
      </c>
      <c r="N694" t="str">
        <f>IF(Tasks[[#This Row],[Task]]="","",IFERROR(MATCH(Tasks[[#This Row],[Status]],{"Late","Blocked","Due soon"},0),9)*100000+N(Tasks[[#This Row],[Due]]))</f>
        <v/>
      </c>
      <c r="O694" t="str" cm="1">
        <f t="array" aca="1" ref="O6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4" t="str" cm="1">
        <f t="array" ref="P6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4" t="str" cm="1">
        <f t="array" ref="Q6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4" t="str" cm="1">
        <f t="array" ref="R6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5" spans="1:18" x14ac:dyDescent="0.25">
      <c r="A695" s="14" t="str" cm="1">
        <f t="array" ref="A695">IF(Tasks[[#This Row],[Task]]="","","T-"&amp;TEXT(ROW()-ROW(Tasks[#Headers]),"000"))</f>
        <v/>
      </c>
      <c r="B695" s="15"/>
      <c r="C695" s="15"/>
      <c r="D695" s="15"/>
      <c r="E695" s="15"/>
      <c r="F695" s="16"/>
      <c r="G695" s="16"/>
      <c r="H695" s="16"/>
      <c r="I695" s="15"/>
      <c r="J695" s="15"/>
      <c r="K6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5" s="17" t="str">
        <f>IF(Tasks[[#This Row],[Task]]="","",IFERROR(VLOOKUP(IF(Tasks[[#This Row],[Effort]]="","M",Tasks[[#This Row],[Effort]]),EffortTable,2,FALSE),0))</f>
        <v/>
      </c>
      <c r="N695" t="str">
        <f>IF(Tasks[[#This Row],[Task]]="","",IFERROR(MATCH(Tasks[[#This Row],[Status]],{"Late","Blocked","Due soon"},0),9)*100000+N(Tasks[[#This Row],[Due]]))</f>
        <v/>
      </c>
      <c r="O695" t="str" cm="1">
        <f t="array" aca="1" ref="O6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5" t="str" cm="1">
        <f t="array" ref="P6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5" t="str" cm="1">
        <f t="array" ref="Q6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5" t="str" cm="1">
        <f t="array" ref="R6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6" spans="1:18" x14ac:dyDescent="0.25">
      <c r="A696" s="14" t="str" cm="1">
        <f t="array" ref="A696">IF(Tasks[[#This Row],[Task]]="","","T-"&amp;TEXT(ROW()-ROW(Tasks[#Headers]),"000"))</f>
        <v/>
      </c>
      <c r="B696" s="15"/>
      <c r="C696" s="15"/>
      <c r="D696" s="15"/>
      <c r="E696" s="15"/>
      <c r="F696" s="16"/>
      <c r="G696" s="16"/>
      <c r="H696" s="16"/>
      <c r="I696" s="15"/>
      <c r="J696" s="15"/>
      <c r="K6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6" s="17" t="str">
        <f>IF(Tasks[[#This Row],[Task]]="","",IFERROR(VLOOKUP(IF(Tasks[[#This Row],[Effort]]="","M",Tasks[[#This Row],[Effort]]),EffortTable,2,FALSE),0))</f>
        <v/>
      </c>
      <c r="N696" t="str">
        <f>IF(Tasks[[#This Row],[Task]]="","",IFERROR(MATCH(Tasks[[#This Row],[Status]],{"Late","Blocked","Due soon"},0),9)*100000+N(Tasks[[#This Row],[Due]]))</f>
        <v/>
      </c>
      <c r="O696" t="str" cm="1">
        <f t="array" aca="1" ref="O6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6" t="str" cm="1">
        <f t="array" ref="P6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6" t="str" cm="1">
        <f t="array" ref="Q6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6" t="str" cm="1">
        <f t="array" ref="R6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7" spans="1:18" x14ac:dyDescent="0.25">
      <c r="A697" s="14" t="str" cm="1">
        <f t="array" ref="A697">IF(Tasks[[#This Row],[Task]]="","","T-"&amp;TEXT(ROW()-ROW(Tasks[#Headers]),"000"))</f>
        <v/>
      </c>
      <c r="B697" s="15"/>
      <c r="C697" s="15"/>
      <c r="D697" s="15"/>
      <c r="E697" s="15"/>
      <c r="F697" s="16"/>
      <c r="G697" s="16"/>
      <c r="H697" s="16"/>
      <c r="I697" s="15"/>
      <c r="J697" s="15"/>
      <c r="K6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7" s="17" t="str">
        <f>IF(Tasks[[#This Row],[Task]]="","",IFERROR(VLOOKUP(IF(Tasks[[#This Row],[Effort]]="","M",Tasks[[#This Row],[Effort]]),EffortTable,2,FALSE),0))</f>
        <v/>
      </c>
      <c r="N697" t="str">
        <f>IF(Tasks[[#This Row],[Task]]="","",IFERROR(MATCH(Tasks[[#This Row],[Status]],{"Late","Blocked","Due soon"},0),9)*100000+N(Tasks[[#This Row],[Due]]))</f>
        <v/>
      </c>
      <c r="O697" t="str" cm="1">
        <f t="array" aca="1" ref="O6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7" t="str" cm="1">
        <f t="array" ref="P6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7" t="str" cm="1">
        <f t="array" ref="Q6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7" t="str" cm="1">
        <f t="array" ref="R6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8" spans="1:18" x14ac:dyDescent="0.25">
      <c r="A698" s="14" t="str" cm="1">
        <f t="array" ref="A698">IF(Tasks[[#This Row],[Task]]="","","T-"&amp;TEXT(ROW()-ROW(Tasks[#Headers]),"000"))</f>
        <v/>
      </c>
      <c r="B698" s="15"/>
      <c r="C698" s="15"/>
      <c r="D698" s="15"/>
      <c r="E698" s="15"/>
      <c r="F698" s="16"/>
      <c r="G698" s="16"/>
      <c r="H698" s="16"/>
      <c r="I698" s="15"/>
      <c r="J698" s="15"/>
      <c r="K6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8" s="17" t="str">
        <f>IF(Tasks[[#This Row],[Task]]="","",IFERROR(VLOOKUP(IF(Tasks[[#This Row],[Effort]]="","M",Tasks[[#This Row],[Effort]]),EffortTable,2,FALSE),0))</f>
        <v/>
      </c>
      <c r="N698" t="str">
        <f>IF(Tasks[[#This Row],[Task]]="","",IFERROR(MATCH(Tasks[[#This Row],[Status]],{"Late","Blocked","Due soon"},0),9)*100000+N(Tasks[[#This Row],[Due]]))</f>
        <v/>
      </c>
      <c r="O698" t="str" cm="1">
        <f t="array" aca="1" ref="O6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8" t="str" cm="1">
        <f t="array" ref="P6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8" t="str" cm="1">
        <f t="array" ref="Q6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8" t="str" cm="1">
        <f t="array" ref="R6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699" spans="1:18" x14ac:dyDescent="0.25">
      <c r="A699" s="14" t="str" cm="1">
        <f t="array" ref="A699">IF(Tasks[[#This Row],[Task]]="","","T-"&amp;TEXT(ROW()-ROW(Tasks[#Headers]),"000"))</f>
        <v/>
      </c>
      <c r="B699" s="15"/>
      <c r="C699" s="15"/>
      <c r="D699" s="15"/>
      <c r="E699" s="15"/>
      <c r="F699" s="16"/>
      <c r="G699" s="16"/>
      <c r="H699" s="16"/>
      <c r="I699" s="15"/>
      <c r="J699" s="15"/>
      <c r="K6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6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699" s="17" t="str">
        <f>IF(Tasks[[#This Row],[Task]]="","",IFERROR(VLOOKUP(IF(Tasks[[#This Row],[Effort]]="","M",Tasks[[#This Row],[Effort]]),EffortTable,2,FALSE),0))</f>
        <v/>
      </c>
      <c r="N699" t="str">
        <f>IF(Tasks[[#This Row],[Task]]="","",IFERROR(MATCH(Tasks[[#This Row],[Status]],{"Late","Blocked","Due soon"},0),9)*100000+N(Tasks[[#This Row],[Due]]))</f>
        <v/>
      </c>
      <c r="O699" t="str" cm="1">
        <f t="array" aca="1" ref="O6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699" t="str" cm="1">
        <f t="array" ref="P6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699" t="str" cm="1">
        <f t="array" ref="Q6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699" t="str" cm="1">
        <f t="array" ref="R6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0" spans="1:18" x14ac:dyDescent="0.25">
      <c r="A700" s="14" t="str" cm="1">
        <f t="array" ref="A700">IF(Tasks[[#This Row],[Task]]="","","T-"&amp;TEXT(ROW()-ROW(Tasks[#Headers]),"000"))</f>
        <v/>
      </c>
      <c r="B700" s="15"/>
      <c r="C700" s="15"/>
      <c r="D700" s="15"/>
      <c r="E700" s="15"/>
      <c r="F700" s="16"/>
      <c r="G700" s="16"/>
      <c r="H700" s="16"/>
      <c r="I700" s="15"/>
      <c r="J700" s="15"/>
      <c r="K7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0" s="17" t="str">
        <f>IF(Tasks[[#This Row],[Task]]="","",IFERROR(VLOOKUP(IF(Tasks[[#This Row],[Effort]]="","M",Tasks[[#This Row],[Effort]]),EffortTable,2,FALSE),0))</f>
        <v/>
      </c>
      <c r="N700" t="str">
        <f>IF(Tasks[[#This Row],[Task]]="","",IFERROR(MATCH(Tasks[[#This Row],[Status]],{"Late","Blocked","Due soon"},0),9)*100000+N(Tasks[[#This Row],[Due]]))</f>
        <v/>
      </c>
      <c r="O700" t="str" cm="1">
        <f t="array" aca="1" ref="O7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0" t="str" cm="1">
        <f t="array" ref="P7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0" t="str" cm="1">
        <f t="array" ref="Q7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0" t="str" cm="1">
        <f t="array" ref="R7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1" spans="1:18" x14ac:dyDescent="0.25">
      <c r="A701" s="14" t="str" cm="1">
        <f t="array" ref="A701">IF(Tasks[[#This Row],[Task]]="","","T-"&amp;TEXT(ROW()-ROW(Tasks[#Headers]),"000"))</f>
        <v/>
      </c>
      <c r="B701" s="15"/>
      <c r="C701" s="15"/>
      <c r="D701" s="15"/>
      <c r="E701" s="15"/>
      <c r="F701" s="16"/>
      <c r="G701" s="16"/>
      <c r="H701" s="16"/>
      <c r="I701" s="15"/>
      <c r="J701" s="15"/>
      <c r="K7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1" s="17" t="str">
        <f>IF(Tasks[[#This Row],[Task]]="","",IFERROR(VLOOKUP(IF(Tasks[[#This Row],[Effort]]="","M",Tasks[[#This Row],[Effort]]),EffortTable,2,FALSE),0))</f>
        <v/>
      </c>
      <c r="N701" t="str">
        <f>IF(Tasks[[#This Row],[Task]]="","",IFERROR(MATCH(Tasks[[#This Row],[Status]],{"Late","Blocked","Due soon"},0),9)*100000+N(Tasks[[#This Row],[Due]]))</f>
        <v/>
      </c>
      <c r="O701" t="str" cm="1">
        <f t="array" aca="1" ref="O7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1" t="str" cm="1">
        <f t="array" ref="P7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1" t="str" cm="1">
        <f t="array" ref="Q7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1" t="str" cm="1">
        <f t="array" ref="R7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2" spans="1:18" x14ac:dyDescent="0.25">
      <c r="A702" s="14" t="str" cm="1">
        <f t="array" ref="A702">IF(Tasks[[#This Row],[Task]]="","","T-"&amp;TEXT(ROW()-ROW(Tasks[#Headers]),"000"))</f>
        <v/>
      </c>
      <c r="B702" s="15"/>
      <c r="C702" s="15"/>
      <c r="D702" s="15"/>
      <c r="E702" s="15"/>
      <c r="F702" s="16"/>
      <c r="G702" s="16"/>
      <c r="H702" s="16"/>
      <c r="I702" s="15"/>
      <c r="J702" s="15"/>
      <c r="K7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2" s="17" t="str">
        <f>IF(Tasks[[#This Row],[Task]]="","",IFERROR(VLOOKUP(IF(Tasks[[#This Row],[Effort]]="","M",Tasks[[#This Row],[Effort]]),EffortTable,2,FALSE),0))</f>
        <v/>
      </c>
      <c r="N702" t="str">
        <f>IF(Tasks[[#This Row],[Task]]="","",IFERROR(MATCH(Tasks[[#This Row],[Status]],{"Late","Blocked","Due soon"},0),9)*100000+N(Tasks[[#This Row],[Due]]))</f>
        <v/>
      </c>
      <c r="O702" t="str" cm="1">
        <f t="array" aca="1" ref="O7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2" t="str" cm="1">
        <f t="array" ref="P7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2" t="str" cm="1">
        <f t="array" ref="Q7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2" t="str" cm="1">
        <f t="array" ref="R7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3" spans="1:18" x14ac:dyDescent="0.25">
      <c r="A703" s="14" t="str" cm="1">
        <f t="array" ref="A703">IF(Tasks[[#This Row],[Task]]="","","T-"&amp;TEXT(ROW()-ROW(Tasks[#Headers]),"000"))</f>
        <v/>
      </c>
      <c r="B703" s="15"/>
      <c r="C703" s="15"/>
      <c r="D703" s="15"/>
      <c r="E703" s="15"/>
      <c r="F703" s="16"/>
      <c r="G703" s="16"/>
      <c r="H703" s="16"/>
      <c r="I703" s="15"/>
      <c r="J703" s="15"/>
      <c r="K7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3" s="17" t="str">
        <f>IF(Tasks[[#This Row],[Task]]="","",IFERROR(VLOOKUP(IF(Tasks[[#This Row],[Effort]]="","M",Tasks[[#This Row],[Effort]]),EffortTable,2,FALSE),0))</f>
        <v/>
      </c>
      <c r="N703" t="str">
        <f>IF(Tasks[[#This Row],[Task]]="","",IFERROR(MATCH(Tasks[[#This Row],[Status]],{"Late","Blocked","Due soon"},0),9)*100000+N(Tasks[[#This Row],[Due]]))</f>
        <v/>
      </c>
      <c r="O703" t="str" cm="1">
        <f t="array" aca="1" ref="O7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3" t="str" cm="1">
        <f t="array" ref="P7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3" t="str" cm="1">
        <f t="array" ref="Q7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3" t="str" cm="1">
        <f t="array" ref="R7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4" spans="1:18" x14ac:dyDescent="0.25">
      <c r="A704" s="14" t="str" cm="1">
        <f t="array" ref="A704">IF(Tasks[[#This Row],[Task]]="","","T-"&amp;TEXT(ROW()-ROW(Tasks[#Headers]),"000"))</f>
        <v/>
      </c>
      <c r="B704" s="15"/>
      <c r="C704" s="15"/>
      <c r="D704" s="15"/>
      <c r="E704" s="15"/>
      <c r="F704" s="16"/>
      <c r="G704" s="16"/>
      <c r="H704" s="16"/>
      <c r="I704" s="15"/>
      <c r="J704" s="15"/>
      <c r="K7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4" s="17" t="str">
        <f>IF(Tasks[[#This Row],[Task]]="","",IFERROR(VLOOKUP(IF(Tasks[[#This Row],[Effort]]="","M",Tasks[[#This Row],[Effort]]),EffortTable,2,FALSE),0))</f>
        <v/>
      </c>
      <c r="N704" t="str">
        <f>IF(Tasks[[#This Row],[Task]]="","",IFERROR(MATCH(Tasks[[#This Row],[Status]],{"Late","Blocked","Due soon"},0),9)*100000+N(Tasks[[#This Row],[Due]]))</f>
        <v/>
      </c>
      <c r="O704" t="str" cm="1">
        <f t="array" aca="1" ref="O7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4" t="str" cm="1">
        <f t="array" ref="P7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4" t="str" cm="1">
        <f t="array" ref="Q7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4" t="str" cm="1">
        <f t="array" ref="R7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5" spans="1:18" x14ac:dyDescent="0.25">
      <c r="A705" s="14" t="str" cm="1">
        <f t="array" ref="A705">IF(Tasks[[#This Row],[Task]]="","","T-"&amp;TEXT(ROW()-ROW(Tasks[#Headers]),"000"))</f>
        <v/>
      </c>
      <c r="B705" s="15"/>
      <c r="C705" s="15"/>
      <c r="D705" s="15"/>
      <c r="E705" s="15"/>
      <c r="F705" s="16"/>
      <c r="G705" s="16"/>
      <c r="H705" s="16"/>
      <c r="I705" s="15"/>
      <c r="J705" s="15"/>
      <c r="K7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5" s="17" t="str">
        <f>IF(Tasks[[#This Row],[Task]]="","",IFERROR(VLOOKUP(IF(Tasks[[#This Row],[Effort]]="","M",Tasks[[#This Row],[Effort]]),EffortTable,2,FALSE),0))</f>
        <v/>
      </c>
      <c r="N705" t="str">
        <f>IF(Tasks[[#This Row],[Task]]="","",IFERROR(MATCH(Tasks[[#This Row],[Status]],{"Late","Blocked","Due soon"},0),9)*100000+N(Tasks[[#This Row],[Due]]))</f>
        <v/>
      </c>
      <c r="O705" t="str" cm="1">
        <f t="array" aca="1" ref="O7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5" t="str" cm="1">
        <f t="array" ref="P7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5" t="str" cm="1">
        <f t="array" ref="Q7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5" t="str" cm="1">
        <f t="array" ref="R7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6" spans="1:18" x14ac:dyDescent="0.25">
      <c r="A706" s="14" t="str" cm="1">
        <f t="array" ref="A706">IF(Tasks[[#This Row],[Task]]="","","T-"&amp;TEXT(ROW()-ROW(Tasks[#Headers]),"000"))</f>
        <v/>
      </c>
      <c r="B706" s="15"/>
      <c r="C706" s="15"/>
      <c r="D706" s="15"/>
      <c r="E706" s="15"/>
      <c r="F706" s="16"/>
      <c r="G706" s="16"/>
      <c r="H706" s="16"/>
      <c r="I706" s="15"/>
      <c r="J706" s="15"/>
      <c r="K7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6" s="17" t="str">
        <f>IF(Tasks[[#This Row],[Task]]="","",IFERROR(VLOOKUP(IF(Tasks[[#This Row],[Effort]]="","M",Tasks[[#This Row],[Effort]]),EffortTable,2,FALSE),0))</f>
        <v/>
      </c>
      <c r="N706" t="str">
        <f>IF(Tasks[[#This Row],[Task]]="","",IFERROR(MATCH(Tasks[[#This Row],[Status]],{"Late","Blocked","Due soon"},0),9)*100000+N(Tasks[[#This Row],[Due]]))</f>
        <v/>
      </c>
      <c r="O706" t="str" cm="1">
        <f t="array" aca="1" ref="O7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6" t="str" cm="1">
        <f t="array" ref="P7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6" t="str" cm="1">
        <f t="array" ref="Q7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6" t="str" cm="1">
        <f t="array" ref="R7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7" spans="1:18" x14ac:dyDescent="0.25">
      <c r="A707" s="14" t="str" cm="1">
        <f t="array" ref="A707">IF(Tasks[[#This Row],[Task]]="","","T-"&amp;TEXT(ROW()-ROW(Tasks[#Headers]),"000"))</f>
        <v/>
      </c>
      <c r="B707" s="15"/>
      <c r="C707" s="15"/>
      <c r="D707" s="15"/>
      <c r="E707" s="15"/>
      <c r="F707" s="16"/>
      <c r="G707" s="16"/>
      <c r="H707" s="16"/>
      <c r="I707" s="15"/>
      <c r="J707" s="15"/>
      <c r="K7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7" s="17" t="str">
        <f>IF(Tasks[[#This Row],[Task]]="","",IFERROR(VLOOKUP(IF(Tasks[[#This Row],[Effort]]="","M",Tasks[[#This Row],[Effort]]),EffortTable,2,FALSE),0))</f>
        <v/>
      </c>
      <c r="N707" t="str">
        <f>IF(Tasks[[#This Row],[Task]]="","",IFERROR(MATCH(Tasks[[#This Row],[Status]],{"Late","Blocked","Due soon"},0),9)*100000+N(Tasks[[#This Row],[Due]]))</f>
        <v/>
      </c>
      <c r="O707" t="str" cm="1">
        <f t="array" aca="1" ref="O7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7" t="str" cm="1">
        <f t="array" ref="P7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7" t="str" cm="1">
        <f t="array" ref="Q7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7" t="str" cm="1">
        <f t="array" ref="R7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8" spans="1:18" x14ac:dyDescent="0.25">
      <c r="A708" s="14" t="str" cm="1">
        <f t="array" ref="A708">IF(Tasks[[#This Row],[Task]]="","","T-"&amp;TEXT(ROW()-ROW(Tasks[#Headers]),"000"))</f>
        <v/>
      </c>
      <c r="B708" s="15"/>
      <c r="C708" s="15"/>
      <c r="D708" s="15"/>
      <c r="E708" s="15"/>
      <c r="F708" s="16"/>
      <c r="G708" s="16"/>
      <c r="H708" s="16"/>
      <c r="I708" s="15"/>
      <c r="J708" s="15"/>
      <c r="K7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8" s="17" t="str">
        <f>IF(Tasks[[#This Row],[Task]]="","",IFERROR(VLOOKUP(IF(Tasks[[#This Row],[Effort]]="","M",Tasks[[#This Row],[Effort]]),EffortTable,2,FALSE),0))</f>
        <v/>
      </c>
      <c r="N708" t="str">
        <f>IF(Tasks[[#This Row],[Task]]="","",IFERROR(MATCH(Tasks[[#This Row],[Status]],{"Late","Blocked","Due soon"},0),9)*100000+N(Tasks[[#This Row],[Due]]))</f>
        <v/>
      </c>
      <c r="O708" t="str" cm="1">
        <f t="array" aca="1" ref="O7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8" t="str" cm="1">
        <f t="array" ref="P7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8" t="str" cm="1">
        <f t="array" ref="Q7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8" t="str" cm="1">
        <f t="array" ref="R7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09" spans="1:18" x14ac:dyDescent="0.25">
      <c r="A709" s="14" t="str" cm="1">
        <f t="array" ref="A709">IF(Tasks[[#This Row],[Task]]="","","T-"&amp;TEXT(ROW()-ROW(Tasks[#Headers]),"000"))</f>
        <v/>
      </c>
      <c r="B709" s="15"/>
      <c r="C709" s="15"/>
      <c r="D709" s="15"/>
      <c r="E709" s="15"/>
      <c r="F709" s="16"/>
      <c r="G709" s="16"/>
      <c r="H709" s="16"/>
      <c r="I709" s="15"/>
      <c r="J709" s="15"/>
      <c r="K7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09" s="17" t="str">
        <f>IF(Tasks[[#This Row],[Task]]="","",IFERROR(VLOOKUP(IF(Tasks[[#This Row],[Effort]]="","M",Tasks[[#This Row],[Effort]]),EffortTable,2,FALSE),0))</f>
        <v/>
      </c>
      <c r="N709" t="str">
        <f>IF(Tasks[[#This Row],[Task]]="","",IFERROR(MATCH(Tasks[[#This Row],[Status]],{"Late","Blocked","Due soon"},0),9)*100000+N(Tasks[[#This Row],[Due]]))</f>
        <v/>
      </c>
      <c r="O709" t="str" cm="1">
        <f t="array" aca="1" ref="O7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09" t="str" cm="1">
        <f t="array" ref="P7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09" t="str" cm="1">
        <f t="array" ref="Q7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09" t="str" cm="1">
        <f t="array" ref="R7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0" spans="1:18" x14ac:dyDescent="0.25">
      <c r="A710" s="14" t="str" cm="1">
        <f t="array" ref="A710">IF(Tasks[[#This Row],[Task]]="","","T-"&amp;TEXT(ROW()-ROW(Tasks[#Headers]),"000"))</f>
        <v/>
      </c>
      <c r="B710" s="15"/>
      <c r="C710" s="15"/>
      <c r="D710" s="15"/>
      <c r="E710" s="15"/>
      <c r="F710" s="16"/>
      <c r="G710" s="16"/>
      <c r="H710" s="16"/>
      <c r="I710" s="15"/>
      <c r="J710" s="15"/>
      <c r="K7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0" s="17" t="str">
        <f>IF(Tasks[[#This Row],[Task]]="","",IFERROR(VLOOKUP(IF(Tasks[[#This Row],[Effort]]="","M",Tasks[[#This Row],[Effort]]),EffortTable,2,FALSE),0))</f>
        <v/>
      </c>
      <c r="N710" t="str">
        <f>IF(Tasks[[#This Row],[Task]]="","",IFERROR(MATCH(Tasks[[#This Row],[Status]],{"Late","Blocked","Due soon"},0),9)*100000+N(Tasks[[#This Row],[Due]]))</f>
        <v/>
      </c>
      <c r="O710" t="str" cm="1">
        <f t="array" aca="1" ref="O7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0" t="str" cm="1">
        <f t="array" ref="P7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0" t="str" cm="1">
        <f t="array" ref="Q7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0" t="str" cm="1">
        <f t="array" ref="R7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1" spans="1:18" x14ac:dyDescent="0.25">
      <c r="A711" s="14" t="str" cm="1">
        <f t="array" ref="A711">IF(Tasks[[#This Row],[Task]]="","","T-"&amp;TEXT(ROW()-ROW(Tasks[#Headers]),"000"))</f>
        <v/>
      </c>
      <c r="B711" s="15"/>
      <c r="C711" s="15"/>
      <c r="D711" s="15"/>
      <c r="E711" s="15"/>
      <c r="F711" s="16"/>
      <c r="G711" s="16"/>
      <c r="H711" s="16"/>
      <c r="I711" s="15"/>
      <c r="J711" s="15"/>
      <c r="K7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1" s="17" t="str">
        <f>IF(Tasks[[#This Row],[Task]]="","",IFERROR(VLOOKUP(IF(Tasks[[#This Row],[Effort]]="","M",Tasks[[#This Row],[Effort]]),EffortTable,2,FALSE),0))</f>
        <v/>
      </c>
      <c r="N711" t="str">
        <f>IF(Tasks[[#This Row],[Task]]="","",IFERROR(MATCH(Tasks[[#This Row],[Status]],{"Late","Blocked","Due soon"},0),9)*100000+N(Tasks[[#This Row],[Due]]))</f>
        <v/>
      </c>
      <c r="O711" t="str" cm="1">
        <f t="array" aca="1" ref="O7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1" t="str" cm="1">
        <f t="array" ref="P7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1" t="str" cm="1">
        <f t="array" ref="Q7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1" t="str" cm="1">
        <f t="array" ref="R7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2" spans="1:18" x14ac:dyDescent="0.25">
      <c r="A712" s="14" t="str" cm="1">
        <f t="array" ref="A712">IF(Tasks[[#This Row],[Task]]="","","T-"&amp;TEXT(ROW()-ROW(Tasks[#Headers]),"000"))</f>
        <v/>
      </c>
      <c r="B712" s="15"/>
      <c r="C712" s="15"/>
      <c r="D712" s="15"/>
      <c r="E712" s="15"/>
      <c r="F712" s="16"/>
      <c r="G712" s="16"/>
      <c r="H712" s="16"/>
      <c r="I712" s="15"/>
      <c r="J712" s="15"/>
      <c r="K7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2" s="17" t="str">
        <f>IF(Tasks[[#This Row],[Task]]="","",IFERROR(VLOOKUP(IF(Tasks[[#This Row],[Effort]]="","M",Tasks[[#This Row],[Effort]]),EffortTable,2,FALSE),0))</f>
        <v/>
      </c>
      <c r="N712" t="str">
        <f>IF(Tasks[[#This Row],[Task]]="","",IFERROR(MATCH(Tasks[[#This Row],[Status]],{"Late","Blocked","Due soon"},0),9)*100000+N(Tasks[[#This Row],[Due]]))</f>
        <v/>
      </c>
      <c r="O712" t="str" cm="1">
        <f t="array" aca="1" ref="O7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2" t="str" cm="1">
        <f t="array" ref="P7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2" t="str" cm="1">
        <f t="array" ref="Q7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2" t="str" cm="1">
        <f t="array" ref="R7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3" spans="1:18" x14ac:dyDescent="0.25">
      <c r="A713" s="14" t="str" cm="1">
        <f t="array" ref="A713">IF(Tasks[[#This Row],[Task]]="","","T-"&amp;TEXT(ROW()-ROW(Tasks[#Headers]),"000"))</f>
        <v/>
      </c>
      <c r="B713" s="15"/>
      <c r="C713" s="15"/>
      <c r="D713" s="15"/>
      <c r="E713" s="15"/>
      <c r="F713" s="16"/>
      <c r="G713" s="16"/>
      <c r="H713" s="16"/>
      <c r="I713" s="15"/>
      <c r="J713" s="15"/>
      <c r="K7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3" s="17" t="str">
        <f>IF(Tasks[[#This Row],[Task]]="","",IFERROR(VLOOKUP(IF(Tasks[[#This Row],[Effort]]="","M",Tasks[[#This Row],[Effort]]),EffortTable,2,FALSE),0))</f>
        <v/>
      </c>
      <c r="N713" t="str">
        <f>IF(Tasks[[#This Row],[Task]]="","",IFERROR(MATCH(Tasks[[#This Row],[Status]],{"Late","Blocked","Due soon"},0),9)*100000+N(Tasks[[#This Row],[Due]]))</f>
        <v/>
      </c>
      <c r="O713" t="str" cm="1">
        <f t="array" aca="1" ref="O7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3" t="str" cm="1">
        <f t="array" ref="P7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3" t="str" cm="1">
        <f t="array" ref="Q7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3" t="str" cm="1">
        <f t="array" ref="R7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4" spans="1:18" x14ac:dyDescent="0.25">
      <c r="A714" s="14" t="str" cm="1">
        <f t="array" ref="A714">IF(Tasks[[#This Row],[Task]]="","","T-"&amp;TEXT(ROW()-ROW(Tasks[#Headers]),"000"))</f>
        <v/>
      </c>
      <c r="B714" s="15"/>
      <c r="C714" s="15"/>
      <c r="D714" s="15"/>
      <c r="E714" s="15"/>
      <c r="F714" s="16"/>
      <c r="G714" s="16"/>
      <c r="H714" s="16"/>
      <c r="I714" s="15"/>
      <c r="J714" s="15"/>
      <c r="K7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4" s="17" t="str">
        <f>IF(Tasks[[#This Row],[Task]]="","",IFERROR(VLOOKUP(IF(Tasks[[#This Row],[Effort]]="","M",Tasks[[#This Row],[Effort]]),EffortTable,2,FALSE),0))</f>
        <v/>
      </c>
      <c r="N714" t="str">
        <f>IF(Tasks[[#This Row],[Task]]="","",IFERROR(MATCH(Tasks[[#This Row],[Status]],{"Late","Blocked","Due soon"},0),9)*100000+N(Tasks[[#This Row],[Due]]))</f>
        <v/>
      </c>
      <c r="O714" t="str" cm="1">
        <f t="array" aca="1" ref="O7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4" t="str" cm="1">
        <f t="array" ref="P7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4" t="str" cm="1">
        <f t="array" ref="Q7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4" t="str" cm="1">
        <f t="array" ref="R7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5" spans="1:18" x14ac:dyDescent="0.25">
      <c r="A715" s="14" t="str" cm="1">
        <f t="array" ref="A715">IF(Tasks[[#This Row],[Task]]="","","T-"&amp;TEXT(ROW()-ROW(Tasks[#Headers]),"000"))</f>
        <v/>
      </c>
      <c r="B715" s="15"/>
      <c r="C715" s="15"/>
      <c r="D715" s="15"/>
      <c r="E715" s="15"/>
      <c r="F715" s="16"/>
      <c r="G715" s="16"/>
      <c r="H715" s="16"/>
      <c r="I715" s="15"/>
      <c r="J715" s="15"/>
      <c r="K7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5" s="17" t="str">
        <f>IF(Tasks[[#This Row],[Task]]="","",IFERROR(VLOOKUP(IF(Tasks[[#This Row],[Effort]]="","M",Tasks[[#This Row],[Effort]]),EffortTable,2,FALSE),0))</f>
        <v/>
      </c>
      <c r="N715" t="str">
        <f>IF(Tasks[[#This Row],[Task]]="","",IFERROR(MATCH(Tasks[[#This Row],[Status]],{"Late","Blocked","Due soon"},0),9)*100000+N(Tasks[[#This Row],[Due]]))</f>
        <v/>
      </c>
      <c r="O715" t="str" cm="1">
        <f t="array" aca="1" ref="O7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5" t="str" cm="1">
        <f t="array" ref="P7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5" t="str" cm="1">
        <f t="array" ref="Q7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5" t="str" cm="1">
        <f t="array" ref="R7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6" spans="1:18" x14ac:dyDescent="0.25">
      <c r="A716" s="14" t="str" cm="1">
        <f t="array" ref="A716">IF(Tasks[[#This Row],[Task]]="","","T-"&amp;TEXT(ROW()-ROW(Tasks[#Headers]),"000"))</f>
        <v/>
      </c>
      <c r="B716" s="15"/>
      <c r="C716" s="15"/>
      <c r="D716" s="15"/>
      <c r="E716" s="15"/>
      <c r="F716" s="16"/>
      <c r="G716" s="16"/>
      <c r="H716" s="16"/>
      <c r="I716" s="15"/>
      <c r="J716" s="15"/>
      <c r="K7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6" s="17" t="str">
        <f>IF(Tasks[[#This Row],[Task]]="","",IFERROR(VLOOKUP(IF(Tasks[[#This Row],[Effort]]="","M",Tasks[[#This Row],[Effort]]),EffortTable,2,FALSE),0))</f>
        <v/>
      </c>
      <c r="N716" t="str">
        <f>IF(Tasks[[#This Row],[Task]]="","",IFERROR(MATCH(Tasks[[#This Row],[Status]],{"Late","Blocked","Due soon"},0),9)*100000+N(Tasks[[#This Row],[Due]]))</f>
        <v/>
      </c>
      <c r="O716" t="str" cm="1">
        <f t="array" aca="1" ref="O7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6" t="str" cm="1">
        <f t="array" ref="P7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6" t="str" cm="1">
        <f t="array" ref="Q7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6" t="str" cm="1">
        <f t="array" ref="R7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7" spans="1:18" x14ac:dyDescent="0.25">
      <c r="A717" s="14" t="str" cm="1">
        <f t="array" ref="A717">IF(Tasks[[#This Row],[Task]]="","","T-"&amp;TEXT(ROW()-ROW(Tasks[#Headers]),"000"))</f>
        <v/>
      </c>
      <c r="B717" s="15"/>
      <c r="C717" s="15"/>
      <c r="D717" s="15"/>
      <c r="E717" s="15"/>
      <c r="F717" s="16"/>
      <c r="G717" s="16"/>
      <c r="H717" s="16"/>
      <c r="I717" s="15"/>
      <c r="J717" s="15"/>
      <c r="K7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7" s="17" t="str">
        <f>IF(Tasks[[#This Row],[Task]]="","",IFERROR(VLOOKUP(IF(Tasks[[#This Row],[Effort]]="","M",Tasks[[#This Row],[Effort]]),EffortTable,2,FALSE),0))</f>
        <v/>
      </c>
      <c r="N717" t="str">
        <f>IF(Tasks[[#This Row],[Task]]="","",IFERROR(MATCH(Tasks[[#This Row],[Status]],{"Late","Blocked","Due soon"},0),9)*100000+N(Tasks[[#This Row],[Due]]))</f>
        <v/>
      </c>
      <c r="O717" t="str" cm="1">
        <f t="array" aca="1" ref="O7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7" t="str" cm="1">
        <f t="array" ref="P7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7" t="str" cm="1">
        <f t="array" ref="Q7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7" t="str" cm="1">
        <f t="array" ref="R7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8" spans="1:18" x14ac:dyDescent="0.25">
      <c r="A718" s="14" t="str" cm="1">
        <f t="array" ref="A718">IF(Tasks[[#This Row],[Task]]="","","T-"&amp;TEXT(ROW()-ROW(Tasks[#Headers]),"000"))</f>
        <v/>
      </c>
      <c r="B718" s="15"/>
      <c r="C718" s="15"/>
      <c r="D718" s="15"/>
      <c r="E718" s="15"/>
      <c r="F718" s="16"/>
      <c r="G718" s="16"/>
      <c r="H718" s="16"/>
      <c r="I718" s="15"/>
      <c r="J718" s="15"/>
      <c r="K7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8" s="17" t="str">
        <f>IF(Tasks[[#This Row],[Task]]="","",IFERROR(VLOOKUP(IF(Tasks[[#This Row],[Effort]]="","M",Tasks[[#This Row],[Effort]]),EffortTable,2,FALSE),0))</f>
        <v/>
      </c>
      <c r="N718" t="str">
        <f>IF(Tasks[[#This Row],[Task]]="","",IFERROR(MATCH(Tasks[[#This Row],[Status]],{"Late","Blocked","Due soon"},0),9)*100000+N(Tasks[[#This Row],[Due]]))</f>
        <v/>
      </c>
      <c r="O718" t="str" cm="1">
        <f t="array" aca="1" ref="O7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8" t="str" cm="1">
        <f t="array" ref="P7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8" t="str" cm="1">
        <f t="array" ref="Q7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8" t="str" cm="1">
        <f t="array" ref="R7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19" spans="1:18" x14ac:dyDescent="0.25">
      <c r="A719" s="14" t="str" cm="1">
        <f t="array" ref="A719">IF(Tasks[[#This Row],[Task]]="","","T-"&amp;TEXT(ROW()-ROW(Tasks[#Headers]),"000"))</f>
        <v/>
      </c>
      <c r="B719" s="15"/>
      <c r="C719" s="15"/>
      <c r="D719" s="15"/>
      <c r="E719" s="15"/>
      <c r="F719" s="16"/>
      <c r="G719" s="16"/>
      <c r="H719" s="16"/>
      <c r="I719" s="15"/>
      <c r="J719" s="15"/>
      <c r="K7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19" s="17" t="str">
        <f>IF(Tasks[[#This Row],[Task]]="","",IFERROR(VLOOKUP(IF(Tasks[[#This Row],[Effort]]="","M",Tasks[[#This Row],[Effort]]),EffortTable,2,FALSE),0))</f>
        <v/>
      </c>
      <c r="N719" t="str">
        <f>IF(Tasks[[#This Row],[Task]]="","",IFERROR(MATCH(Tasks[[#This Row],[Status]],{"Late","Blocked","Due soon"},0),9)*100000+N(Tasks[[#This Row],[Due]]))</f>
        <v/>
      </c>
      <c r="O719" t="str" cm="1">
        <f t="array" aca="1" ref="O7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19" t="str" cm="1">
        <f t="array" ref="P7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19" t="str" cm="1">
        <f t="array" ref="Q7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19" t="str" cm="1">
        <f t="array" ref="R7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0" spans="1:18" x14ac:dyDescent="0.25">
      <c r="A720" s="14" t="str" cm="1">
        <f t="array" ref="A720">IF(Tasks[[#This Row],[Task]]="","","T-"&amp;TEXT(ROW()-ROW(Tasks[#Headers]),"000"))</f>
        <v/>
      </c>
      <c r="B720" s="15"/>
      <c r="C720" s="15"/>
      <c r="D720" s="15"/>
      <c r="E720" s="15"/>
      <c r="F720" s="16"/>
      <c r="G720" s="16"/>
      <c r="H720" s="16"/>
      <c r="I720" s="15"/>
      <c r="J720" s="15"/>
      <c r="K7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0" s="17" t="str">
        <f>IF(Tasks[[#This Row],[Task]]="","",IFERROR(VLOOKUP(IF(Tasks[[#This Row],[Effort]]="","M",Tasks[[#This Row],[Effort]]),EffortTable,2,FALSE),0))</f>
        <v/>
      </c>
      <c r="N720" t="str">
        <f>IF(Tasks[[#This Row],[Task]]="","",IFERROR(MATCH(Tasks[[#This Row],[Status]],{"Late","Blocked","Due soon"},0),9)*100000+N(Tasks[[#This Row],[Due]]))</f>
        <v/>
      </c>
      <c r="O720" t="str" cm="1">
        <f t="array" aca="1" ref="O7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0" t="str" cm="1">
        <f t="array" ref="P7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0" t="str" cm="1">
        <f t="array" ref="Q7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0" t="str" cm="1">
        <f t="array" ref="R7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1" spans="1:18" x14ac:dyDescent="0.25">
      <c r="A721" s="14" t="str" cm="1">
        <f t="array" ref="A721">IF(Tasks[[#This Row],[Task]]="","","T-"&amp;TEXT(ROW()-ROW(Tasks[#Headers]),"000"))</f>
        <v/>
      </c>
      <c r="B721" s="15"/>
      <c r="C721" s="15"/>
      <c r="D721" s="15"/>
      <c r="E721" s="15"/>
      <c r="F721" s="16"/>
      <c r="G721" s="16"/>
      <c r="H721" s="16"/>
      <c r="I721" s="15"/>
      <c r="J721" s="15"/>
      <c r="K7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1" s="17" t="str">
        <f>IF(Tasks[[#This Row],[Task]]="","",IFERROR(VLOOKUP(IF(Tasks[[#This Row],[Effort]]="","M",Tasks[[#This Row],[Effort]]),EffortTable,2,FALSE),0))</f>
        <v/>
      </c>
      <c r="N721" t="str">
        <f>IF(Tasks[[#This Row],[Task]]="","",IFERROR(MATCH(Tasks[[#This Row],[Status]],{"Late","Blocked","Due soon"},0),9)*100000+N(Tasks[[#This Row],[Due]]))</f>
        <v/>
      </c>
      <c r="O721" t="str" cm="1">
        <f t="array" aca="1" ref="O7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1" t="str" cm="1">
        <f t="array" ref="P7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1" t="str" cm="1">
        <f t="array" ref="Q7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1" t="str" cm="1">
        <f t="array" ref="R7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2" spans="1:18" x14ac:dyDescent="0.25">
      <c r="A722" s="14" t="str" cm="1">
        <f t="array" ref="A722">IF(Tasks[[#This Row],[Task]]="","","T-"&amp;TEXT(ROW()-ROW(Tasks[#Headers]),"000"))</f>
        <v/>
      </c>
      <c r="B722" s="15"/>
      <c r="C722" s="15"/>
      <c r="D722" s="15"/>
      <c r="E722" s="15"/>
      <c r="F722" s="16"/>
      <c r="G722" s="16"/>
      <c r="H722" s="16"/>
      <c r="I722" s="15"/>
      <c r="J722" s="15"/>
      <c r="K7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2" s="17" t="str">
        <f>IF(Tasks[[#This Row],[Task]]="","",IFERROR(VLOOKUP(IF(Tasks[[#This Row],[Effort]]="","M",Tasks[[#This Row],[Effort]]),EffortTable,2,FALSE),0))</f>
        <v/>
      </c>
      <c r="N722" t="str">
        <f>IF(Tasks[[#This Row],[Task]]="","",IFERROR(MATCH(Tasks[[#This Row],[Status]],{"Late","Blocked","Due soon"},0),9)*100000+N(Tasks[[#This Row],[Due]]))</f>
        <v/>
      </c>
      <c r="O722" t="str" cm="1">
        <f t="array" aca="1" ref="O7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2" t="str" cm="1">
        <f t="array" ref="P7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2" t="str" cm="1">
        <f t="array" ref="Q7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2" t="str" cm="1">
        <f t="array" ref="R7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3" spans="1:18" x14ac:dyDescent="0.25">
      <c r="A723" s="14" t="str" cm="1">
        <f t="array" ref="A723">IF(Tasks[[#This Row],[Task]]="","","T-"&amp;TEXT(ROW()-ROW(Tasks[#Headers]),"000"))</f>
        <v/>
      </c>
      <c r="B723" s="15"/>
      <c r="C723" s="15"/>
      <c r="D723" s="15"/>
      <c r="E723" s="15"/>
      <c r="F723" s="16"/>
      <c r="G723" s="16"/>
      <c r="H723" s="16"/>
      <c r="I723" s="15"/>
      <c r="J723" s="15"/>
      <c r="K7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3" s="17" t="str">
        <f>IF(Tasks[[#This Row],[Task]]="","",IFERROR(VLOOKUP(IF(Tasks[[#This Row],[Effort]]="","M",Tasks[[#This Row],[Effort]]),EffortTable,2,FALSE),0))</f>
        <v/>
      </c>
      <c r="N723" t="str">
        <f>IF(Tasks[[#This Row],[Task]]="","",IFERROR(MATCH(Tasks[[#This Row],[Status]],{"Late","Blocked","Due soon"},0),9)*100000+N(Tasks[[#This Row],[Due]]))</f>
        <v/>
      </c>
      <c r="O723" t="str" cm="1">
        <f t="array" aca="1" ref="O7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3" t="str" cm="1">
        <f t="array" ref="P7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3" t="str" cm="1">
        <f t="array" ref="Q7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3" t="str" cm="1">
        <f t="array" ref="R7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4" spans="1:18" x14ac:dyDescent="0.25">
      <c r="A724" s="14" t="str" cm="1">
        <f t="array" ref="A724">IF(Tasks[[#This Row],[Task]]="","","T-"&amp;TEXT(ROW()-ROW(Tasks[#Headers]),"000"))</f>
        <v/>
      </c>
      <c r="B724" s="15"/>
      <c r="C724" s="15"/>
      <c r="D724" s="15"/>
      <c r="E724" s="15"/>
      <c r="F724" s="16"/>
      <c r="G724" s="16"/>
      <c r="H724" s="16"/>
      <c r="I724" s="15"/>
      <c r="J724" s="15"/>
      <c r="K7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4" s="17" t="str">
        <f>IF(Tasks[[#This Row],[Task]]="","",IFERROR(VLOOKUP(IF(Tasks[[#This Row],[Effort]]="","M",Tasks[[#This Row],[Effort]]),EffortTable,2,FALSE),0))</f>
        <v/>
      </c>
      <c r="N724" t="str">
        <f>IF(Tasks[[#This Row],[Task]]="","",IFERROR(MATCH(Tasks[[#This Row],[Status]],{"Late","Blocked","Due soon"},0),9)*100000+N(Tasks[[#This Row],[Due]]))</f>
        <v/>
      </c>
      <c r="O724" t="str" cm="1">
        <f t="array" aca="1" ref="O7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4" t="str" cm="1">
        <f t="array" ref="P7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4" t="str" cm="1">
        <f t="array" ref="Q7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4" t="str" cm="1">
        <f t="array" ref="R7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5" spans="1:18" x14ac:dyDescent="0.25">
      <c r="A725" s="14" t="str" cm="1">
        <f t="array" ref="A725">IF(Tasks[[#This Row],[Task]]="","","T-"&amp;TEXT(ROW()-ROW(Tasks[#Headers]),"000"))</f>
        <v/>
      </c>
      <c r="B725" s="15"/>
      <c r="C725" s="15"/>
      <c r="D725" s="15"/>
      <c r="E725" s="15"/>
      <c r="F725" s="16"/>
      <c r="G725" s="16"/>
      <c r="H725" s="16"/>
      <c r="I725" s="15"/>
      <c r="J725" s="15"/>
      <c r="K7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5" s="17" t="str">
        <f>IF(Tasks[[#This Row],[Task]]="","",IFERROR(VLOOKUP(IF(Tasks[[#This Row],[Effort]]="","M",Tasks[[#This Row],[Effort]]),EffortTable,2,FALSE),0))</f>
        <v/>
      </c>
      <c r="N725" t="str">
        <f>IF(Tasks[[#This Row],[Task]]="","",IFERROR(MATCH(Tasks[[#This Row],[Status]],{"Late","Blocked","Due soon"},0),9)*100000+N(Tasks[[#This Row],[Due]]))</f>
        <v/>
      </c>
      <c r="O725" t="str" cm="1">
        <f t="array" aca="1" ref="O7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5" t="str" cm="1">
        <f t="array" ref="P7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5" t="str" cm="1">
        <f t="array" ref="Q7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5" t="str" cm="1">
        <f t="array" ref="R7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6" spans="1:18" x14ac:dyDescent="0.25">
      <c r="A726" s="14" t="str" cm="1">
        <f t="array" ref="A726">IF(Tasks[[#This Row],[Task]]="","","T-"&amp;TEXT(ROW()-ROW(Tasks[#Headers]),"000"))</f>
        <v/>
      </c>
      <c r="B726" s="15"/>
      <c r="C726" s="15"/>
      <c r="D726" s="15"/>
      <c r="E726" s="15"/>
      <c r="F726" s="16"/>
      <c r="G726" s="16"/>
      <c r="H726" s="16"/>
      <c r="I726" s="15"/>
      <c r="J726" s="15"/>
      <c r="K7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6" s="17" t="str">
        <f>IF(Tasks[[#This Row],[Task]]="","",IFERROR(VLOOKUP(IF(Tasks[[#This Row],[Effort]]="","M",Tasks[[#This Row],[Effort]]),EffortTable,2,FALSE),0))</f>
        <v/>
      </c>
      <c r="N726" t="str">
        <f>IF(Tasks[[#This Row],[Task]]="","",IFERROR(MATCH(Tasks[[#This Row],[Status]],{"Late","Blocked","Due soon"},0),9)*100000+N(Tasks[[#This Row],[Due]]))</f>
        <v/>
      </c>
      <c r="O726" t="str" cm="1">
        <f t="array" aca="1" ref="O7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6" t="str" cm="1">
        <f t="array" ref="P7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6" t="str" cm="1">
        <f t="array" ref="Q7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6" t="str" cm="1">
        <f t="array" ref="R7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7" spans="1:18" x14ac:dyDescent="0.25">
      <c r="A727" s="14" t="str" cm="1">
        <f t="array" ref="A727">IF(Tasks[[#This Row],[Task]]="","","T-"&amp;TEXT(ROW()-ROW(Tasks[#Headers]),"000"))</f>
        <v/>
      </c>
      <c r="B727" s="15"/>
      <c r="C727" s="15"/>
      <c r="D727" s="15"/>
      <c r="E727" s="15"/>
      <c r="F727" s="16"/>
      <c r="G727" s="16"/>
      <c r="H727" s="16"/>
      <c r="I727" s="15"/>
      <c r="J727" s="15"/>
      <c r="K7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7" s="17" t="str">
        <f>IF(Tasks[[#This Row],[Task]]="","",IFERROR(VLOOKUP(IF(Tasks[[#This Row],[Effort]]="","M",Tasks[[#This Row],[Effort]]),EffortTable,2,FALSE),0))</f>
        <v/>
      </c>
      <c r="N727" t="str">
        <f>IF(Tasks[[#This Row],[Task]]="","",IFERROR(MATCH(Tasks[[#This Row],[Status]],{"Late","Blocked","Due soon"},0),9)*100000+N(Tasks[[#This Row],[Due]]))</f>
        <v/>
      </c>
      <c r="O727" t="str" cm="1">
        <f t="array" aca="1" ref="O7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7" t="str" cm="1">
        <f t="array" ref="P7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7" t="str" cm="1">
        <f t="array" ref="Q7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7" t="str" cm="1">
        <f t="array" ref="R7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8" spans="1:18" x14ac:dyDescent="0.25">
      <c r="A728" s="14" t="str" cm="1">
        <f t="array" ref="A728">IF(Tasks[[#This Row],[Task]]="","","T-"&amp;TEXT(ROW()-ROW(Tasks[#Headers]),"000"))</f>
        <v/>
      </c>
      <c r="B728" s="15"/>
      <c r="C728" s="15"/>
      <c r="D728" s="15"/>
      <c r="E728" s="15"/>
      <c r="F728" s="16"/>
      <c r="G728" s="16"/>
      <c r="H728" s="16"/>
      <c r="I728" s="15"/>
      <c r="J728" s="15"/>
      <c r="K7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8" s="17" t="str">
        <f>IF(Tasks[[#This Row],[Task]]="","",IFERROR(VLOOKUP(IF(Tasks[[#This Row],[Effort]]="","M",Tasks[[#This Row],[Effort]]),EffortTable,2,FALSE),0))</f>
        <v/>
      </c>
      <c r="N728" t="str">
        <f>IF(Tasks[[#This Row],[Task]]="","",IFERROR(MATCH(Tasks[[#This Row],[Status]],{"Late","Blocked","Due soon"},0),9)*100000+N(Tasks[[#This Row],[Due]]))</f>
        <v/>
      </c>
      <c r="O728" t="str" cm="1">
        <f t="array" aca="1" ref="O7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8" t="str" cm="1">
        <f t="array" ref="P7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8" t="str" cm="1">
        <f t="array" ref="Q7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8" t="str" cm="1">
        <f t="array" ref="R7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29" spans="1:18" x14ac:dyDescent="0.25">
      <c r="A729" s="14" t="str" cm="1">
        <f t="array" ref="A729">IF(Tasks[[#This Row],[Task]]="","","T-"&amp;TEXT(ROW()-ROW(Tasks[#Headers]),"000"))</f>
        <v/>
      </c>
      <c r="B729" s="15"/>
      <c r="C729" s="15"/>
      <c r="D729" s="15"/>
      <c r="E729" s="15"/>
      <c r="F729" s="16"/>
      <c r="G729" s="16"/>
      <c r="H729" s="16"/>
      <c r="I729" s="15"/>
      <c r="J729" s="15"/>
      <c r="K7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29" s="17" t="str">
        <f>IF(Tasks[[#This Row],[Task]]="","",IFERROR(VLOOKUP(IF(Tasks[[#This Row],[Effort]]="","M",Tasks[[#This Row],[Effort]]),EffortTable,2,FALSE),0))</f>
        <v/>
      </c>
      <c r="N729" t="str">
        <f>IF(Tasks[[#This Row],[Task]]="","",IFERROR(MATCH(Tasks[[#This Row],[Status]],{"Late","Blocked","Due soon"},0),9)*100000+N(Tasks[[#This Row],[Due]]))</f>
        <v/>
      </c>
      <c r="O729" t="str" cm="1">
        <f t="array" aca="1" ref="O7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29" t="str" cm="1">
        <f t="array" ref="P7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29" t="str" cm="1">
        <f t="array" ref="Q7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29" t="str" cm="1">
        <f t="array" ref="R7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0" spans="1:18" x14ac:dyDescent="0.25">
      <c r="A730" s="14" t="str" cm="1">
        <f t="array" ref="A730">IF(Tasks[[#This Row],[Task]]="","","T-"&amp;TEXT(ROW()-ROW(Tasks[#Headers]),"000"))</f>
        <v/>
      </c>
      <c r="B730" s="15"/>
      <c r="C730" s="15"/>
      <c r="D730" s="15"/>
      <c r="E730" s="15"/>
      <c r="F730" s="16"/>
      <c r="G730" s="16"/>
      <c r="H730" s="16"/>
      <c r="I730" s="15"/>
      <c r="J730" s="15"/>
      <c r="K7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0" s="17" t="str">
        <f>IF(Tasks[[#This Row],[Task]]="","",IFERROR(VLOOKUP(IF(Tasks[[#This Row],[Effort]]="","M",Tasks[[#This Row],[Effort]]),EffortTable,2,FALSE),0))</f>
        <v/>
      </c>
      <c r="N730" t="str">
        <f>IF(Tasks[[#This Row],[Task]]="","",IFERROR(MATCH(Tasks[[#This Row],[Status]],{"Late","Blocked","Due soon"},0),9)*100000+N(Tasks[[#This Row],[Due]]))</f>
        <v/>
      </c>
      <c r="O730" t="str" cm="1">
        <f t="array" aca="1" ref="O7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0" t="str" cm="1">
        <f t="array" ref="P7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0" t="str" cm="1">
        <f t="array" ref="Q7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0" t="str" cm="1">
        <f t="array" ref="R7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1" spans="1:18" x14ac:dyDescent="0.25">
      <c r="A731" s="14" t="str" cm="1">
        <f t="array" ref="A731">IF(Tasks[[#This Row],[Task]]="","","T-"&amp;TEXT(ROW()-ROW(Tasks[#Headers]),"000"))</f>
        <v/>
      </c>
      <c r="B731" s="15"/>
      <c r="C731" s="15"/>
      <c r="D731" s="15"/>
      <c r="E731" s="15"/>
      <c r="F731" s="16"/>
      <c r="G731" s="16"/>
      <c r="H731" s="16"/>
      <c r="I731" s="15"/>
      <c r="J731" s="15"/>
      <c r="K7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1" s="17" t="str">
        <f>IF(Tasks[[#This Row],[Task]]="","",IFERROR(VLOOKUP(IF(Tasks[[#This Row],[Effort]]="","M",Tasks[[#This Row],[Effort]]),EffortTable,2,FALSE),0))</f>
        <v/>
      </c>
      <c r="N731" t="str">
        <f>IF(Tasks[[#This Row],[Task]]="","",IFERROR(MATCH(Tasks[[#This Row],[Status]],{"Late","Blocked","Due soon"},0),9)*100000+N(Tasks[[#This Row],[Due]]))</f>
        <v/>
      </c>
      <c r="O731" t="str" cm="1">
        <f t="array" aca="1" ref="O7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1" t="str" cm="1">
        <f t="array" ref="P7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1" t="str" cm="1">
        <f t="array" ref="Q7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1" t="str" cm="1">
        <f t="array" ref="R7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2" spans="1:18" x14ac:dyDescent="0.25">
      <c r="A732" s="14" t="str" cm="1">
        <f t="array" ref="A732">IF(Tasks[[#This Row],[Task]]="","","T-"&amp;TEXT(ROW()-ROW(Tasks[#Headers]),"000"))</f>
        <v/>
      </c>
      <c r="B732" s="15"/>
      <c r="C732" s="15"/>
      <c r="D732" s="15"/>
      <c r="E732" s="15"/>
      <c r="F732" s="16"/>
      <c r="G732" s="16"/>
      <c r="H732" s="16"/>
      <c r="I732" s="15"/>
      <c r="J732" s="15"/>
      <c r="K7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2" s="17" t="str">
        <f>IF(Tasks[[#This Row],[Task]]="","",IFERROR(VLOOKUP(IF(Tasks[[#This Row],[Effort]]="","M",Tasks[[#This Row],[Effort]]),EffortTable,2,FALSE),0))</f>
        <v/>
      </c>
      <c r="N732" t="str">
        <f>IF(Tasks[[#This Row],[Task]]="","",IFERROR(MATCH(Tasks[[#This Row],[Status]],{"Late","Blocked","Due soon"},0),9)*100000+N(Tasks[[#This Row],[Due]]))</f>
        <v/>
      </c>
      <c r="O732" t="str" cm="1">
        <f t="array" aca="1" ref="O7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2" t="str" cm="1">
        <f t="array" ref="P7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2" t="str" cm="1">
        <f t="array" ref="Q7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2" t="str" cm="1">
        <f t="array" ref="R7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3" spans="1:18" x14ac:dyDescent="0.25">
      <c r="A733" s="14" t="str" cm="1">
        <f t="array" ref="A733">IF(Tasks[[#This Row],[Task]]="","","T-"&amp;TEXT(ROW()-ROW(Tasks[#Headers]),"000"))</f>
        <v/>
      </c>
      <c r="B733" s="15"/>
      <c r="C733" s="15"/>
      <c r="D733" s="15"/>
      <c r="E733" s="15"/>
      <c r="F733" s="16"/>
      <c r="G733" s="16"/>
      <c r="H733" s="16"/>
      <c r="I733" s="15"/>
      <c r="J733" s="15"/>
      <c r="K7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3" s="17" t="str">
        <f>IF(Tasks[[#This Row],[Task]]="","",IFERROR(VLOOKUP(IF(Tasks[[#This Row],[Effort]]="","M",Tasks[[#This Row],[Effort]]),EffortTable,2,FALSE),0))</f>
        <v/>
      </c>
      <c r="N733" t="str">
        <f>IF(Tasks[[#This Row],[Task]]="","",IFERROR(MATCH(Tasks[[#This Row],[Status]],{"Late","Blocked","Due soon"},0),9)*100000+N(Tasks[[#This Row],[Due]]))</f>
        <v/>
      </c>
      <c r="O733" t="str" cm="1">
        <f t="array" aca="1" ref="O7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3" t="str" cm="1">
        <f t="array" ref="P7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3" t="str" cm="1">
        <f t="array" ref="Q7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3" t="str" cm="1">
        <f t="array" ref="R7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4" spans="1:18" x14ac:dyDescent="0.25">
      <c r="A734" s="14" t="str" cm="1">
        <f t="array" ref="A734">IF(Tasks[[#This Row],[Task]]="","","T-"&amp;TEXT(ROW()-ROW(Tasks[#Headers]),"000"))</f>
        <v/>
      </c>
      <c r="B734" s="15"/>
      <c r="C734" s="15"/>
      <c r="D734" s="15"/>
      <c r="E734" s="15"/>
      <c r="F734" s="16"/>
      <c r="G734" s="16"/>
      <c r="H734" s="16"/>
      <c r="I734" s="15"/>
      <c r="J734" s="15"/>
      <c r="K7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4" s="17" t="str">
        <f>IF(Tasks[[#This Row],[Task]]="","",IFERROR(VLOOKUP(IF(Tasks[[#This Row],[Effort]]="","M",Tasks[[#This Row],[Effort]]),EffortTable,2,FALSE),0))</f>
        <v/>
      </c>
      <c r="N734" t="str">
        <f>IF(Tasks[[#This Row],[Task]]="","",IFERROR(MATCH(Tasks[[#This Row],[Status]],{"Late","Blocked","Due soon"},0),9)*100000+N(Tasks[[#This Row],[Due]]))</f>
        <v/>
      </c>
      <c r="O734" t="str" cm="1">
        <f t="array" aca="1" ref="O7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4" t="str" cm="1">
        <f t="array" ref="P7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4" t="str" cm="1">
        <f t="array" ref="Q7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4" t="str" cm="1">
        <f t="array" ref="R7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5" spans="1:18" x14ac:dyDescent="0.25">
      <c r="A735" s="14" t="str" cm="1">
        <f t="array" ref="A735">IF(Tasks[[#This Row],[Task]]="","","T-"&amp;TEXT(ROW()-ROW(Tasks[#Headers]),"000"))</f>
        <v/>
      </c>
      <c r="B735" s="15"/>
      <c r="C735" s="15"/>
      <c r="D735" s="15"/>
      <c r="E735" s="15"/>
      <c r="F735" s="16"/>
      <c r="G735" s="16"/>
      <c r="H735" s="16"/>
      <c r="I735" s="15"/>
      <c r="J735" s="15"/>
      <c r="K7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5" s="17" t="str">
        <f>IF(Tasks[[#This Row],[Task]]="","",IFERROR(VLOOKUP(IF(Tasks[[#This Row],[Effort]]="","M",Tasks[[#This Row],[Effort]]),EffortTable,2,FALSE),0))</f>
        <v/>
      </c>
      <c r="N735" t="str">
        <f>IF(Tasks[[#This Row],[Task]]="","",IFERROR(MATCH(Tasks[[#This Row],[Status]],{"Late","Blocked","Due soon"},0),9)*100000+N(Tasks[[#This Row],[Due]]))</f>
        <v/>
      </c>
      <c r="O735" t="str" cm="1">
        <f t="array" aca="1" ref="O7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5" t="str" cm="1">
        <f t="array" ref="P7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5" t="str" cm="1">
        <f t="array" ref="Q7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5" t="str" cm="1">
        <f t="array" ref="R7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6" spans="1:18" x14ac:dyDescent="0.25">
      <c r="A736" s="14" t="str" cm="1">
        <f t="array" ref="A736">IF(Tasks[[#This Row],[Task]]="","","T-"&amp;TEXT(ROW()-ROW(Tasks[#Headers]),"000"))</f>
        <v/>
      </c>
      <c r="B736" s="15"/>
      <c r="C736" s="15"/>
      <c r="D736" s="15"/>
      <c r="E736" s="15"/>
      <c r="F736" s="16"/>
      <c r="G736" s="16"/>
      <c r="H736" s="16"/>
      <c r="I736" s="15"/>
      <c r="J736" s="15"/>
      <c r="K7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6" s="17" t="str">
        <f>IF(Tasks[[#This Row],[Task]]="","",IFERROR(VLOOKUP(IF(Tasks[[#This Row],[Effort]]="","M",Tasks[[#This Row],[Effort]]),EffortTable,2,FALSE),0))</f>
        <v/>
      </c>
      <c r="N736" t="str">
        <f>IF(Tasks[[#This Row],[Task]]="","",IFERROR(MATCH(Tasks[[#This Row],[Status]],{"Late","Blocked","Due soon"},0),9)*100000+N(Tasks[[#This Row],[Due]]))</f>
        <v/>
      </c>
      <c r="O736" t="str" cm="1">
        <f t="array" aca="1" ref="O7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6" t="str" cm="1">
        <f t="array" ref="P7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6" t="str" cm="1">
        <f t="array" ref="Q7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6" t="str" cm="1">
        <f t="array" ref="R7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7" spans="1:18" x14ac:dyDescent="0.25">
      <c r="A737" s="14" t="str" cm="1">
        <f t="array" ref="A737">IF(Tasks[[#This Row],[Task]]="","","T-"&amp;TEXT(ROW()-ROW(Tasks[#Headers]),"000"))</f>
        <v/>
      </c>
      <c r="B737" s="15"/>
      <c r="C737" s="15"/>
      <c r="D737" s="15"/>
      <c r="E737" s="15"/>
      <c r="F737" s="16"/>
      <c r="G737" s="16"/>
      <c r="H737" s="16"/>
      <c r="I737" s="15"/>
      <c r="J737" s="15"/>
      <c r="K7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7" s="17" t="str">
        <f>IF(Tasks[[#This Row],[Task]]="","",IFERROR(VLOOKUP(IF(Tasks[[#This Row],[Effort]]="","M",Tasks[[#This Row],[Effort]]),EffortTable,2,FALSE),0))</f>
        <v/>
      </c>
      <c r="N737" t="str">
        <f>IF(Tasks[[#This Row],[Task]]="","",IFERROR(MATCH(Tasks[[#This Row],[Status]],{"Late","Blocked","Due soon"},0),9)*100000+N(Tasks[[#This Row],[Due]]))</f>
        <v/>
      </c>
      <c r="O737" t="str" cm="1">
        <f t="array" aca="1" ref="O7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7" t="str" cm="1">
        <f t="array" ref="P7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7" t="str" cm="1">
        <f t="array" ref="Q7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7" t="str" cm="1">
        <f t="array" ref="R7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8" spans="1:18" x14ac:dyDescent="0.25">
      <c r="A738" s="14" t="str" cm="1">
        <f t="array" ref="A738">IF(Tasks[[#This Row],[Task]]="","","T-"&amp;TEXT(ROW()-ROW(Tasks[#Headers]),"000"))</f>
        <v/>
      </c>
      <c r="B738" s="15"/>
      <c r="C738" s="15"/>
      <c r="D738" s="15"/>
      <c r="E738" s="15"/>
      <c r="F738" s="16"/>
      <c r="G738" s="16"/>
      <c r="H738" s="16"/>
      <c r="I738" s="15"/>
      <c r="J738" s="15"/>
      <c r="K7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8" s="17" t="str">
        <f>IF(Tasks[[#This Row],[Task]]="","",IFERROR(VLOOKUP(IF(Tasks[[#This Row],[Effort]]="","M",Tasks[[#This Row],[Effort]]),EffortTable,2,FALSE),0))</f>
        <v/>
      </c>
      <c r="N738" t="str">
        <f>IF(Tasks[[#This Row],[Task]]="","",IFERROR(MATCH(Tasks[[#This Row],[Status]],{"Late","Blocked","Due soon"},0),9)*100000+N(Tasks[[#This Row],[Due]]))</f>
        <v/>
      </c>
      <c r="O738" t="str" cm="1">
        <f t="array" aca="1" ref="O7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8" t="str" cm="1">
        <f t="array" ref="P7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8" t="str" cm="1">
        <f t="array" ref="Q7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8" t="str" cm="1">
        <f t="array" ref="R7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39" spans="1:18" x14ac:dyDescent="0.25">
      <c r="A739" s="14" t="str" cm="1">
        <f t="array" ref="A739">IF(Tasks[[#This Row],[Task]]="","","T-"&amp;TEXT(ROW()-ROW(Tasks[#Headers]),"000"))</f>
        <v/>
      </c>
      <c r="B739" s="15"/>
      <c r="C739" s="15"/>
      <c r="D739" s="15"/>
      <c r="E739" s="15"/>
      <c r="F739" s="16"/>
      <c r="G739" s="16"/>
      <c r="H739" s="16"/>
      <c r="I739" s="15"/>
      <c r="J739" s="15"/>
      <c r="K7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39" s="17" t="str">
        <f>IF(Tasks[[#This Row],[Task]]="","",IFERROR(VLOOKUP(IF(Tasks[[#This Row],[Effort]]="","M",Tasks[[#This Row],[Effort]]),EffortTable,2,FALSE),0))</f>
        <v/>
      </c>
      <c r="N739" t="str">
        <f>IF(Tasks[[#This Row],[Task]]="","",IFERROR(MATCH(Tasks[[#This Row],[Status]],{"Late","Blocked","Due soon"},0),9)*100000+N(Tasks[[#This Row],[Due]]))</f>
        <v/>
      </c>
      <c r="O739" t="str" cm="1">
        <f t="array" aca="1" ref="O7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39" t="str" cm="1">
        <f t="array" ref="P7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39" t="str" cm="1">
        <f t="array" ref="Q7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39" t="str" cm="1">
        <f t="array" ref="R7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0" spans="1:18" x14ac:dyDescent="0.25">
      <c r="A740" s="14" t="str" cm="1">
        <f t="array" ref="A740">IF(Tasks[[#This Row],[Task]]="","","T-"&amp;TEXT(ROW()-ROW(Tasks[#Headers]),"000"))</f>
        <v/>
      </c>
      <c r="B740" s="15"/>
      <c r="C740" s="15"/>
      <c r="D740" s="15"/>
      <c r="E740" s="15"/>
      <c r="F740" s="16"/>
      <c r="G740" s="16"/>
      <c r="H740" s="16"/>
      <c r="I740" s="15"/>
      <c r="J740" s="15"/>
      <c r="K7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0" s="17" t="str">
        <f>IF(Tasks[[#This Row],[Task]]="","",IFERROR(VLOOKUP(IF(Tasks[[#This Row],[Effort]]="","M",Tasks[[#This Row],[Effort]]),EffortTable,2,FALSE),0))</f>
        <v/>
      </c>
      <c r="N740" t="str">
        <f>IF(Tasks[[#This Row],[Task]]="","",IFERROR(MATCH(Tasks[[#This Row],[Status]],{"Late","Blocked","Due soon"},0),9)*100000+N(Tasks[[#This Row],[Due]]))</f>
        <v/>
      </c>
      <c r="O740" t="str" cm="1">
        <f t="array" aca="1" ref="O7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0" t="str" cm="1">
        <f t="array" ref="P7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0" t="str" cm="1">
        <f t="array" ref="Q7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0" t="str" cm="1">
        <f t="array" ref="R7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1" spans="1:18" x14ac:dyDescent="0.25">
      <c r="A741" s="14" t="str" cm="1">
        <f t="array" ref="A741">IF(Tasks[[#This Row],[Task]]="","","T-"&amp;TEXT(ROW()-ROW(Tasks[#Headers]),"000"))</f>
        <v/>
      </c>
      <c r="B741" s="15"/>
      <c r="C741" s="15"/>
      <c r="D741" s="15"/>
      <c r="E741" s="15"/>
      <c r="F741" s="16"/>
      <c r="G741" s="16"/>
      <c r="H741" s="16"/>
      <c r="I741" s="15"/>
      <c r="J741" s="15"/>
      <c r="K7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1" s="17" t="str">
        <f>IF(Tasks[[#This Row],[Task]]="","",IFERROR(VLOOKUP(IF(Tasks[[#This Row],[Effort]]="","M",Tasks[[#This Row],[Effort]]),EffortTable,2,FALSE),0))</f>
        <v/>
      </c>
      <c r="N741" t="str">
        <f>IF(Tasks[[#This Row],[Task]]="","",IFERROR(MATCH(Tasks[[#This Row],[Status]],{"Late","Blocked","Due soon"},0),9)*100000+N(Tasks[[#This Row],[Due]]))</f>
        <v/>
      </c>
      <c r="O741" t="str" cm="1">
        <f t="array" aca="1" ref="O7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1" t="str" cm="1">
        <f t="array" ref="P7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1" t="str" cm="1">
        <f t="array" ref="Q7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1" t="str" cm="1">
        <f t="array" ref="R7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2" spans="1:18" x14ac:dyDescent="0.25">
      <c r="A742" s="14" t="str" cm="1">
        <f t="array" ref="A742">IF(Tasks[[#This Row],[Task]]="","","T-"&amp;TEXT(ROW()-ROW(Tasks[#Headers]),"000"))</f>
        <v/>
      </c>
      <c r="B742" s="15"/>
      <c r="C742" s="15"/>
      <c r="D742" s="15"/>
      <c r="E742" s="15"/>
      <c r="F742" s="16"/>
      <c r="G742" s="16"/>
      <c r="H742" s="16"/>
      <c r="I742" s="15"/>
      <c r="J742" s="15"/>
      <c r="K7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2" s="17" t="str">
        <f>IF(Tasks[[#This Row],[Task]]="","",IFERROR(VLOOKUP(IF(Tasks[[#This Row],[Effort]]="","M",Tasks[[#This Row],[Effort]]),EffortTable,2,FALSE),0))</f>
        <v/>
      </c>
      <c r="N742" t="str">
        <f>IF(Tasks[[#This Row],[Task]]="","",IFERROR(MATCH(Tasks[[#This Row],[Status]],{"Late","Blocked","Due soon"},0),9)*100000+N(Tasks[[#This Row],[Due]]))</f>
        <v/>
      </c>
      <c r="O742" t="str" cm="1">
        <f t="array" aca="1" ref="O7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2" t="str" cm="1">
        <f t="array" ref="P7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2" t="str" cm="1">
        <f t="array" ref="Q7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2" t="str" cm="1">
        <f t="array" ref="R7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3" spans="1:18" x14ac:dyDescent="0.25">
      <c r="A743" s="14" t="str" cm="1">
        <f t="array" ref="A743">IF(Tasks[[#This Row],[Task]]="","","T-"&amp;TEXT(ROW()-ROW(Tasks[#Headers]),"000"))</f>
        <v/>
      </c>
      <c r="B743" s="15"/>
      <c r="C743" s="15"/>
      <c r="D743" s="15"/>
      <c r="E743" s="15"/>
      <c r="F743" s="16"/>
      <c r="G743" s="16"/>
      <c r="H743" s="16"/>
      <c r="I743" s="15"/>
      <c r="J743" s="15"/>
      <c r="K7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3" s="17" t="str">
        <f>IF(Tasks[[#This Row],[Task]]="","",IFERROR(VLOOKUP(IF(Tasks[[#This Row],[Effort]]="","M",Tasks[[#This Row],[Effort]]),EffortTable,2,FALSE),0))</f>
        <v/>
      </c>
      <c r="N743" t="str">
        <f>IF(Tasks[[#This Row],[Task]]="","",IFERROR(MATCH(Tasks[[#This Row],[Status]],{"Late","Blocked","Due soon"},0),9)*100000+N(Tasks[[#This Row],[Due]]))</f>
        <v/>
      </c>
      <c r="O743" t="str" cm="1">
        <f t="array" aca="1" ref="O7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3" t="str" cm="1">
        <f t="array" ref="P7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3" t="str" cm="1">
        <f t="array" ref="Q7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3" t="str" cm="1">
        <f t="array" ref="R7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4" spans="1:18" x14ac:dyDescent="0.25">
      <c r="A744" s="14" t="str" cm="1">
        <f t="array" ref="A744">IF(Tasks[[#This Row],[Task]]="","","T-"&amp;TEXT(ROW()-ROW(Tasks[#Headers]),"000"))</f>
        <v/>
      </c>
      <c r="B744" s="15"/>
      <c r="C744" s="15"/>
      <c r="D744" s="15"/>
      <c r="E744" s="15"/>
      <c r="F744" s="16"/>
      <c r="G744" s="16"/>
      <c r="H744" s="16"/>
      <c r="I744" s="15"/>
      <c r="J744" s="15"/>
      <c r="K7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4" s="17" t="str">
        <f>IF(Tasks[[#This Row],[Task]]="","",IFERROR(VLOOKUP(IF(Tasks[[#This Row],[Effort]]="","M",Tasks[[#This Row],[Effort]]),EffortTable,2,FALSE),0))</f>
        <v/>
      </c>
      <c r="N744" t="str">
        <f>IF(Tasks[[#This Row],[Task]]="","",IFERROR(MATCH(Tasks[[#This Row],[Status]],{"Late","Blocked","Due soon"},0),9)*100000+N(Tasks[[#This Row],[Due]]))</f>
        <v/>
      </c>
      <c r="O744" t="str" cm="1">
        <f t="array" aca="1" ref="O7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4" t="str" cm="1">
        <f t="array" ref="P7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4" t="str" cm="1">
        <f t="array" ref="Q7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4" t="str" cm="1">
        <f t="array" ref="R7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5" spans="1:18" x14ac:dyDescent="0.25">
      <c r="A745" s="14" t="str" cm="1">
        <f t="array" ref="A745">IF(Tasks[[#This Row],[Task]]="","","T-"&amp;TEXT(ROW()-ROW(Tasks[#Headers]),"000"))</f>
        <v/>
      </c>
      <c r="B745" s="15"/>
      <c r="C745" s="15"/>
      <c r="D745" s="15"/>
      <c r="E745" s="15"/>
      <c r="F745" s="16"/>
      <c r="G745" s="16"/>
      <c r="H745" s="16"/>
      <c r="I745" s="15"/>
      <c r="J745" s="15"/>
      <c r="K7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5" s="17" t="str">
        <f>IF(Tasks[[#This Row],[Task]]="","",IFERROR(VLOOKUP(IF(Tasks[[#This Row],[Effort]]="","M",Tasks[[#This Row],[Effort]]),EffortTable,2,FALSE),0))</f>
        <v/>
      </c>
      <c r="N745" t="str">
        <f>IF(Tasks[[#This Row],[Task]]="","",IFERROR(MATCH(Tasks[[#This Row],[Status]],{"Late","Blocked","Due soon"},0),9)*100000+N(Tasks[[#This Row],[Due]]))</f>
        <v/>
      </c>
      <c r="O745" t="str" cm="1">
        <f t="array" aca="1" ref="O7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5" t="str" cm="1">
        <f t="array" ref="P7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5" t="str" cm="1">
        <f t="array" ref="Q7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5" t="str" cm="1">
        <f t="array" ref="R7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6" spans="1:18" x14ac:dyDescent="0.25">
      <c r="A746" s="14" t="str" cm="1">
        <f t="array" ref="A746">IF(Tasks[[#This Row],[Task]]="","","T-"&amp;TEXT(ROW()-ROW(Tasks[#Headers]),"000"))</f>
        <v/>
      </c>
      <c r="B746" s="15"/>
      <c r="C746" s="15"/>
      <c r="D746" s="15"/>
      <c r="E746" s="15"/>
      <c r="F746" s="16"/>
      <c r="G746" s="16"/>
      <c r="H746" s="16"/>
      <c r="I746" s="15"/>
      <c r="J746" s="15"/>
      <c r="K7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6" s="17" t="str">
        <f>IF(Tasks[[#This Row],[Task]]="","",IFERROR(VLOOKUP(IF(Tasks[[#This Row],[Effort]]="","M",Tasks[[#This Row],[Effort]]),EffortTable,2,FALSE),0))</f>
        <v/>
      </c>
      <c r="N746" t="str">
        <f>IF(Tasks[[#This Row],[Task]]="","",IFERROR(MATCH(Tasks[[#This Row],[Status]],{"Late","Blocked","Due soon"},0),9)*100000+N(Tasks[[#This Row],[Due]]))</f>
        <v/>
      </c>
      <c r="O746" t="str" cm="1">
        <f t="array" aca="1" ref="O7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6" t="str" cm="1">
        <f t="array" ref="P7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6" t="str" cm="1">
        <f t="array" ref="Q7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6" t="str" cm="1">
        <f t="array" ref="R7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7" spans="1:18" x14ac:dyDescent="0.25">
      <c r="A747" s="14" t="str" cm="1">
        <f t="array" ref="A747">IF(Tasks[[#This Row],[Task]]="","","T-"&amp;TEXT(ROW()-ROW(Tasks[#Headers]),"000"))</f>
        <v/>
      </c>
      <c r="B747" s="15"/>
      <c r="C747" s="15"/>
      <c r="D747" s="15"/>
      <c r="E747" s="15"/>
      <c r="F747" s="16"/>
      <c r="G747" s="16"/>
      <c r="H747" s="16"/>
      <c r="I747" s="15"/>
      <c r="J747" s="15"/>
      <c r="K7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7" s="17" t="str">
        <f>IF(Tasks[[#This Row],[Task]]="","",IFERROR(VLOOKUP(IF(Tasks[[#This Row],[Effort]]="","M",Tasks[[#This Row],[Effort]]),EffortTable,2,FALSE),0))</f>
        <v/>
      </c>
      <c r="N747" t="str">
        <f>IF(Tasks[[#This Row],[Task]]="","",IFERROR(MATCH(Tasks[[#This Row],[Status]],{"Late","Blocked","Due soon"},0),9)*100000+N(Tasks[[#This Row],[Due]]))</f>
        <v/>
      </c>
      <c r="O747" t="str" cm="1">
        <f t="array" aca="1" ref="O7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7" t="str" cm="1">
        <f t="array" ref="P7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7" t="str" cm="1">
        <f t="array" ref="Q7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7" t="str" cm="1">
        <f t="array" ref="R7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8" spans="1:18" x14ac:dyDescent="0.25">
      <c r="A748" s="14" t="str" cm="1">
        <f t="array" ref="A748">IF(Tasks[[#This Row],[Task]]="","","T-"&amp;TEXT(ROW()-ROW(Tasks[#Headers]),"000"))</f>
        <v/>
      </c>
      <c r="B748" s="15"/>
      <c r="C748" s="15"/>
      <c r="D748" s="15"/>
      <c r="E748" s="15"/>
      <c r="F748" s="16"/>
      <c r="G748" s="16"/>
      <c r="H748" s="16"/>
      <c r="I748" s="15"/>
      <c r="J748" s="15"/>
      <c r="K7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8" s="17" t="str">
        <f>IF(Tasks[[#This Row],[Task]]="","",IFERROR(VLOOKUP(IF(Tasks[[#This Row],[Effort]]="","M",Tasks[[#This Row],[Effort]]),EffortTable,2,FALSE),0))</f>
        <v/>
      </c>
      <c r="N748" t="str">
        <f>IF(Tasks[[#This Row],[Task]]="","",IFERROR(MATCH(Tasks[[#This Row],[Status]],{"Late","Blocked","Due soon"},0),9)*100000+N(Tasks[[#This Row],[Due]]))</f>
        <v/>
      </c>
      <c r="O748" t="str" cm="1">
        <f t="array" aca="1" ref="O7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8" t="str" cm="1">
        <f t="array" ref="P7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8" t="str" cm="1">
        <f t="array" ref="Q7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8" t="str" cm="1">
        <f t="array" ref="R7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49" spans="1:18" x14ac:dyDescent="0.25">
      <c r="A749" s="14" t="str" cm="1">
        <f t="array" ref="A749">IF(Tasks[[#This Row],[Task]]="","","T-"&amp;TEXT(ROW()-ROW(Tasks[#Headers]),"000"))</f>
        <v/>
      </c>
      <c r="B749" s="15"/>
      <c r="C749" s="15"/>
      <c r="D749" s="15"/>
      <c r="E749" s="15"/>
      <c r="F749" s="16"/>
      <c r="G749" s="16"/>
      <c r="H749" s="16"/>
      <c r="I749" s="15"/>
      <c r="J749" s="15"/>
      <c r="K7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49" s="17" t="str">
        <f>IF(Tasks[[#This Row],[Task]]="","",IFERROR(VLOOKUP(IF(Tasks[[#This Row],[Effort]]="","M",Tasks[[#This Row],[Effort]]),EffortTable,2,FALSE),0))</f>
        <v/>
      </c>
      <c r="N749" t="str">
        <f>IF(Tasks[[#This Row],[Task]]="","",IFERROR(MATCH(Tasks[[#This Row],[Status]],{"Late","Blocked","Due soon"},0),9)*100000+N(Tasks[[#This Row],[Due]]))</f>
        <v/>
      </c>
      <c r="O749" t="str" cm="1">
        <f t="array" aca="1" ref="O7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49" t="str" cm="1">
        <f t="array" ref="P7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49" t="str" cm="1">
        <f t="array" ref="Q7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49" t="str" cm="1">
        <f t="array" ref="R7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0" spans="1:18" x14ac:dyDescent="0.25">
      <c r="A750" s="14" t="str" cm="1">
        <f t="array" ref="A750">IF(Tasks[[#This Row],[Task]]="","","T-"&amp;TEXT(ROW()-ROW(Tasks[#Headers]),"000"))</f>
        <v/>
      </c>
      <c r="B750" s="15"/>
      <c r="C750" s="15"/>
      <c r="D750" s="15"/>
      <c r="E750" s="15"/>
      <c r="F750" s="16"/>
      <c r="G750" s="16"/>
      <c r="H750" s="16"/>
      <c r="I750" s="15"/>
      <c r="J750" s="15"/>
      <c r="K7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0" s="17" t="str">
        <f>IF(Tasks[[#This Row],[Task]]="","",IFERROR(VLOOKUP(IF(Tasks[[#This Row],[Effort]]="","M",Tasks[[#This Row],[Effort]]),EffortTable,2,FALSE),0))</f>
        <v/>
      </c>
      <c r="N750" t="str">
        <f>IF(Tasks[[#This Row],[Task]]="","",IFERROR(MATCH(Tasks[[#This Row],[Status]],{"Late","Blocked","Due soon"},0),9)*100000+N(Tasks[[#This Row],[Due]]))</f>
        <v/>
      </c>
      <c r="O750" t="str" cm="1">
        <f t="array" aca="1" ref="O7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0" t="str" cm="1">
        <f t="array" ref="P7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0" t="str" cm="1">
        <f t="array" ref="Q7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0" t="str" cm="1">
        <f t="array" ref="R7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1" spans="1:18" x14ac:dyDescent="0.25">
      <c r="A751" s="14" t="str" cm="1">
        <f t="array" ref="A751">IF(Tasks[[#This Row],[Task]]="","","T-"&amp;TEXT(ROW()-ROW(Tasks[#Headers]),"000"))</f>
        <v/>
      </c>
      <c r="B751" s="15"/>
      <c r="C751" s="15"/>
      <c r="D751" s="15"/>
      <c r="E751" s="15"/>
      <c r="F751" s="16"/>
      <c r="G751" s="16"/>
      <c r="H751" s="16"/>
      <c r="I751" s="15"/>
      <c r="J751" s="15"/>
      <c r="K7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1" s="17" t="str">
        <f>IF(Tasks[[#This Row],[Task]]="","",IFERROR(VLOOKUP(IF(Tasks[[#This Row],[Effort]]="","M",Tasks[[#This Row],[Effort]]),EffortTable,2,FALSE),0))</f>
        <v/>
      </c>
      <c r="N751" t="str">
        <f>IF(Tasks[[#This Row],[Task]]="","",IFERROR(MATCH(Tasks[[#This Row],[Status]],{"Late","Blocked","Due soon"},0),9)*100000+N(Tasks[[#This Row],[Due]]))</f>
        <v/>
      </c>
      <c r="O751" t="str" cm="1">
        <f t="array" aca="1" ref="O7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1" t="str" cm="1">
        <f t="array" ref="P7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1" t="str" cm="1">
        <f t="array" ref="Q7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1" t="str" cm="1">
        <f t="array" ref="R7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2" spans="1:18" x14ac:dyDescent="0.25">
      <c r="A752" s="14" t="str" cm="1">
        <f t="array" ref="A752">IF(Tasks[[#This Row],[Task]]="","","T-"&amp;TEXT(ROW()-ROW(Tasks[#Headers]),"000"))</f>
        <v/>
      </c>
      <c r="B752" s="15"/>
      <c r="C752" s="15"/>
      <c r="D752" s="15"/>
      <c r="E752" s="15"/>
      <c r="F752" s="16"/>
      <c r="G752" s="16"/>
      <c r="H752" s="16"/>
      <c r="I752" s="15"/>
      <c r="J752" s="15"/>
      <c r="K7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2" s="17" t="str">
        <f>IF(Tasks[[#This Row],[Task]]="","",IFERROR(VLOOKUP(IF(Tasks[[#This Row],[Effort]]="","M",Tasks[[#This Row],[Effort]]),EffortTable,2,FALSE),0))</f>
        <v/>
      </c>
      <c r="N752" t="str">
        <f>IF(Tasks[[#This Row],[Task]]="","",IFERROR(MATCH(Tasks[[#This Row],[Status]],{"Late","Blocked","Due soon"},0),9)*100000+N(Tasks[[#This Row],[Due]]))</f>
        <v/>
      </c>
      <c r="O752" t="str" cm="1">
        <f t="array" aca="1" ref="O7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2" t="str" cm="1">
        <f t="array" ref="P7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2" t="str" cm="1">
        <f t="array" ref="Q7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2" t="str" cm="1">
        <f t="array" ref="R7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3" spans="1:18" x14ac:dyDescent="0.25">
      <c r="A753" s="14" t="str" cm="1">
        <f t="array" ref="A753">IF(Tasks[[#This Row],[Task]]="","","T-"&amp;TEXT(ROW()-ROW(Tasks[#Headers]),"000"))</f>
        <v/>
      </c>
      <c r="B753" s="15"/>
      <c r="C753" s="15"/>
      <c r="D753" s="15"/>
      <c r="E753" s="15"/>
      <c r="F753" s="16"/>
      <c r="G753" s="16"/>
      <c r="H753" s="16"/>
      <c r="I753" s="15"/>
      <c r="J753" s="15"/>
      <c r="K7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3" s="17" t="str">
        <f>IF(Tasks[[#This Row],[Task]]="","",IFERROR(VLOOKUP(IF(Tasks[[#This Row],[Effort]]="","M",Tasks[[#This Row],[Effort]]),EffortTable,2,FALSE),0))</f>
        <v/>
      </c>
      <c r="N753" t="str">
        <f>IF(Tasks[[#This Row],[Task]]="","",IFERROR(MATCH(Tasks[[#This Row],[Status]],{"Late","Blocked","Due soon"},0),9)*100000+N(Tasks[[#This Row],[Due]]))</f>
        <v/>
      </c>
      <c r="O753" t="str" cm="1">
        <f t="array" aca="1" ref="O7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3" t="str" cm="1">
        <f t="array" ref="P7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3" t="str" cm="1">
        <f t="array" ref="Q7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3" t="str" cm="1">
        <f t="array" ref="R7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4" spans="1:18" x14ac:dyDescent="0.25">
      <c r="A754" s="14" t="str" cm="1">
        <f t="array" ref="A754">IF(Tasks[[#This Row],[Task]]="","","T-"&amp;TEXT(ROW()-ROW(Tasks[#Headers]),"000"))</f>
        <v/>
      </c>
      <c r="B754" s="15"/>
      <c r="C754" s="15"/>
      <c r="D754" s="15"/>
      <c r="E754" s="15"/>
      <c r="F754" s="16"/>
      <c r="G754" s="16"/>
      <c r="H754" s="16"/>
      <c r="I754" s="15"/>
      <c r="J754" s="15"/>
      <c r="K7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4" s="17" t="str">
        <f>IF(Tasks[[#This Row],[Task]]="","",IFERROR(VLOOKUP(IF(Tasks[[#This Row],[Effort]]="","M",Tasks[[#This Row],[Effort]]),EffortTable,2,FALSE),0))</f>
        <v/>
      </c>
      <c r="N754" t="str">
        <f>IF(Tasks[[#This Row],[Task]]="","",IFERROR(MATCH(Tasks[[#This Row],[Status]],{"Late","Blocked","Due soon"},0),9)*100000+N(Tasks[[#This Row],[Due]]))</f>
        <v/>
      </c>
      <c r="O754" t="str" cm="1">
        <f t="array" aca="1" ref="O7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4" t="str" cm="1">
        <f t="array" ref="P7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4" t="str" cm="1">
        <f t="array" ref="Q7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4" t="str" cm="1">
        <f t="array" ref="R7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5" spans="1:18" x14ac:dyDescent="0.25">
      <c r="A755" s="14" t="str" cm="1">
        <f t="array" ref="A755">IF(Tasks[[#This Row],[Task]]="","","T-"&amp;TEXT(ROW()-ROW(Tasks[#Headers]),"000"))</f>
        <v/>
      </c>
      <c r="B755" s="15"/>
      <c r="C755" s="15"/>
      <c r="D755" s="15"/>
      <c r="E755" s="15"/>
      <c r="F755" s="16"/>
      <c r="G755" s="16"/>
      <c r="H755" s="16"/>
      <c r="I755" s="15"/>
      <c r="J755" s="15"/>
      <c r="K7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5" s="17" t="str">
        <f>IF(Tasks[[#This Row],[Task]]="","",IFERROR(VLOOKUP(IF(Tasks[[#This Row],[Effort]]="","M",Tasks[[#This Row],[Effort]]),EffortTable,2,FALSE),0))</f>
        <v/>
      </c>
      <c r="N755" t="str">
        <f>IF(Tasks[[#This Row],[Task]]="","",IFERROR(MATCH(Tasks[[#This Row],[Status]],{"Late","Blocked","Due soon"},0),9)*100000+N(Tasks[[#This Row],[Due]]))</f>
        <v/>
      </c>
      <c r="O755" t="str" cm="1">
        <f t="array" aca="1" ref="O7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5" t="str" cm="1">
        <f t="array" ref="P7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5" t="str" cm="1">
        <f t="array" ref="Q7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5" t="str" cm="1">
        <f t="array" ref="R7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6" spans="1:18" x14ac:dyDescent="0.25">
      <c r="A756" s="14" t="str" cm="1">
        <f t="array" ref="A756">IF(Tasks[[#This Row],[Task]]="","","T-"&amp;TEXT(ROW()-ROW(Tasks[#Headers]),"000"))</f>
        <v/>
      </c>
      <c r="B756" s="15"/>
      <c r="C756" s="15"/>
      <c r="D756" s="15"/>
      <c r="E756" s="15"/>
      <c r="F756" s="16"/>
      <c r="G756" s="16"/>
      <c r="H756" s="16"/>
      <c r="I756" s="15"/>
      <c r="J756" s="15"/>
      <c r="K7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6" s="17" t="str">
        <f>IF(Tasks[[#This Row],[Task]]="","",IFERROR(VLOOKUP(IF(Tasks[[#This Row],[Effort]]="","M",Tasks[[#This Row],[Effort]]),EffortTable,2,FALSE),0))</f>
        <v/>
      </c>
      <c r="N756" t="str">
        <f>IF(Tasks[[#This Row],[Task]]="","",IFERROR(MATCH(Tasks[[#This Row],[Status]],{"Late","Blocked","Due soon"},0),9)*100000+N(Tasks[[#This Row],[Due]]))</f>
        <v/>
      </c>
      <c r="O756" t="str" cm="1">
        <f t="array" aca="1" ref="O7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6" t="str" cm="1">
        <f t="array" ref="P7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6" t="str" cm="1">
        <f t="array" ref="Q7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6" t="str" cm="1">
        <f t="array" ref="R7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7" spans="1:18" x14ac:dyDescent="0.25">
      <c r="A757" s="14" t="str" cm="1">
        <f t="array" ref="A757">IF(Tasks[[#This Row],[Task]]="","","T-"&amp;TEXT(ROW()-ROW(Tasks[#Headers]),"000"))</f>
        <v/>
      </c>
      <c r="B757" s="15"/>
      <c r="C757" s="15"/>
      <c r="D757" s="15"/>
      <c r="E757" s="15"/>
      <c r="F757" s="16"/>
      <c r="G757" s="16"/>
      <c r="H757" s="16"/>
      <c r="I757" s="15"/>
      <c r="J757" s="15"/>
      <c r="K7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7" s="17" t="str">
        <f>IF(Tasks[[#This Row],[Task]]="","",IFERROR(VLOOKUP(IF(Tasks[[#This Row],[Effort]]="","M",Tasks[[#This Row],[Effort]]),EffortTable,2,FALSE),0))</f>
        <v/>
      </c>
      <c r="N757" t="str">
        <f>IF(Tasks[[#This Row],[Task]]="","",IFERROR(MATCH(Tasks[[#This Row],[Status]],{"Late","Blocked","Due soon"},0),9)*100000+N(Tasks[[#This Row],[Due]]))</f>
        <v/>
      </c>
      <c r="O757" t="str" cm="1">
        <f t="array" aca="1" ref="O7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7" t="str" cm="1">
        <f t="array" ref="P7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7" t="str" cm="1">
        <f t="array" ref="Q7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7" t="str" cm="1">
        <f t="array" ref="R7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8" spans="1:18" x14ac:dyDescent="0.25">
      <c r="A758" s="14" t="str" cm="1">
        <f t="array" ref="A758">IF(Tasks[[#This Row],[Task]]="","","T-"&amp;TEXT(ROW()-ROW(Tasks[#Headers]),"000"))</f>
        <v/>
      </c>
      <c r="B758" s="15"/>
      <c r="C758" s="15"/>
      <c r="D758" s="15"/>
      <c r="E758" s="15"/>
      <c r="F758" s="16"/>
      <c r="G758" s="16"/>
      <c r="H758" s="16"/>
      <c r="I758" s="15"/>
      <c r="J758" s="15"/>
      <c r="K7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8" s="17" t="str">
        <f>IF(Tasks[[#This Row],[Task]]="","",IFERROR(VLOOKUP(IF(Tasks[[#This Row],[Effort]]="","M",Tasks[[#This Row],[Effort]]),EffortTable,2,FALSE),0))</f>
        <v/>
      </c>
      <c r="N758" t="str">
        <f>IF(Tasks[[#This Row],[Task]]="","",IFERROR(MATCH(Tasks[[#This Row],[Status]],{"Late","Blocked","Due soon"},0),9)*100000+N(Tasks[[#This Row],[Due]]))</f>
        <v/>
      </c>
      <c r="O758" t="str" cm="1">
        <f t="array" aca="1" ref="O7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8" t="str" cm="1">
        <f t="array" ref="P7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8" t="str" cm="1">
        <f t="array" ref="Q7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8" t="str" cm="1">
        <f t="array" ref="R7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59" spans="1:18" x14ac:dyDescent="0.25">
      <c r="A759" s="14" t="str" cm="1">
        <f t="array" ref="A759">IF(Tasks[[#This Row],[Task]]="","","T-"&amp;TEXT(ROW()-ROW(Tasks[#Headers]),"000"))</f>
        <v/>
      </c>
      <c r="B759" s="15"/>
      <c r="C759" s="15"/>
      <c r="D759" s="15"/>
      <c r="E759" s="15"/>
      <c r="F759" s="16"/>
      <c r="G759" s="16"/>
      <c r="H759" s="16"/>
      <c r="I759" s="15"/>
      <c r="J759" s="15"/>
      <c r="K7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59" s="17" t="str">
        <f>IF(Tasks[[#This Row],[Task]]="","",IFERROR(VLOOKUP(IF(Tasks[[#This Row],[Effort]]="","M",Tasks[[#This Row],[Effort]]),EffortTable,2,FALSE),0))</f>
        <v/>
      </c>
      <c r="N759" t="str">
        <f>IF(Tasks[[#This Row],[Task]]="","",IFERROR(MATCH(Tasks[[#This Row],[Status]],{"Late","Blocked","Due soon"},0),9)*100000+N(Tasks[[#This Row],[Due]]))</f>
        <v/>
      </c>
      <c r="O759" t="str" cm="1">
        <f t="array" aca="1" ref="O7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59" t="str" cm="1">
        <f t="array" ref="P7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59" t="str" cm="1">
        <f t="array" ref="Q7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59" t="str" cm="1">
        <f t="array" ref="R7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0" spans="1:18" x14ac:dyDescent="0.25">
      <c r="A760" s="14" t="str" cm="1">
        <f t="array" ref="A760">IF(Tasks[[#This Row],[Task]]="","","T-"&amp;TEXT(ROW()-ROW(Tasks[#Headers]),"000"))</f>
        <v/>
      </c>
      <c r="B760" s="15"/>
      <c r="C760" s="15"/>
      <c r="D760" s="15"/>
      <c r="E760" s="15"/>
      <c r="F760" s="16"/>
      <c r="G760" s="16"/>
      <c r="H760" s="16"/>
      <c r="I760" s="15"/>
      <c r="J760" s="15"/>
      <c r="K7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0" s="17" t="str">
        <f>IF(Tasks[[#This Row],[Task]]="","",IFERROR(VLOOKUP(IF(Tasks[[#This Row],[Effort]]="","M",Tasks[[#This Row],[Effort]]),EffortTable,2,FALSE),0))</f>
        <v/>
      </c>
      <c r="N760" t="str">
        <f>IF(Tasks[[#This Row],[Task]]="","",IFERROR(MATCH(Tasks[[#This Row],[Status]],{"Late","Blocked","Due soon"},0),9)*100000+N(Tasks[[#This Row],[Due]]))</f>
        <v/>
      </c>
      <c r="O760" t="str" cm="1">
        <f t="array" aca="1" ref="O7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0" t="str" cm="1">
        <f t="array" ref="P7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0" t="str" cm="1">
        <f t="array" ref="Q7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0" t="str" cm="1">
        <f t="array" ref="R7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1" spans="1:18" x14ac:dyDescent="0.25">
      <c r="A761" s="14" t="str" cm="1">
        <f t="array" ref="A761">IF(Tasks[[#This Row],[Task]]="","","T-"&amp;TEXT(ROW()-ROW(Tasks[#Headers]),"000"))</f>
        <v/>
      </c>
      <c r="B761" s="15"/>
      <c r="C761" s="15"/>
      <c r="D761" s="15"/>
      <c r="E761" s="15"/>
      <c r="F761" s="16"/>
      <c r="G761" s="16"/>
      <c r="H761" s="16"/>
      <c r="I761" s="15"/>
      <c r="J761" s="15"/>
      <c r="K7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1" s="17" t="str">
        <f>IF(Tasks[[#This Row],[Task]]="","",IFERROR(VLOOKUP(IF(Tasks[[#This Row],[Effort]]="","M",Tasks[[#This Row],[Effort]]),EffortTable,2,FALSE),0))</f>
        <v/>
      </c>
      <c r="N761" t="str">
        <f>IF(Tasks[[#This Row],[Task]]="","",IFERROR(MATCH(Tasks[[#This Row],[Status]],{"Late","Blocked","Due soon"},0),9)*100000+N(Tasks[[#This Row],[Due]]))</f>
        <v/>
      </c>
      <c r="O761" t="str" cm="1">
        <f t="array" aca="1" ref="O7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1" t="str" cm="1">
        <f t="array" ref="P7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1" t="str" cm="1">
        <f t="array" ref="Q7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1" t="str" cm="1">
        <f t="array" ref="R7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2" spans="1:18" x14ac:dyDescent="0.25">
      <c r="A762" s="14" t="str" cm="1">
        <f t="array" ref="A762">IF(Tasks[[#This Row],[Task]]="","","T-"&amp;TEXT(ROW()-ROW(Tasks[#Headers]),"000"))</f>
        <v/>
      </c>
      <c r="B762" s="15"/>
      <c r="C762" s="15"/>
      <c r="D762" s="15"/>
      <c r="E762" s="15"/>
      <c r="F762" s="16"/>
      <c r="G762" s="16"/>
      <c r="H762" s="16"/>
      <c r="I762" s="15"/>
      <c r="J762" s="15"/>
      <c r="K7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2" s="17" t="str">
        <f>IF(Tasks[[#This Row],[Task]]="","",IFERROR(VLOOKUP(IF(Tasks[[#This Row],[Effort]]="","M",Tasks[[#This Row],[Effort]]),EffortTable,2,FALSE),0))</f>
        <v/>
      </c>
      <c r="N762" t="str">
        <f>IF(Tasks[[#This Row],[Task]]="","",IFERROR(MATCH(Tasks[[#This Row],[Status]],{"Late","Blocked","Due soon"},0),9)*100000+N(Tasks[[#This Row],[Due]]))</f>
        <v/>
      </c>
      <c r="O762" t="str" cm="1">
        <f t="array" aca="1" ref="O7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2" t="str" cm="1">
        <f t="array" ref="P7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2" t="str" cm="1">
        <f t="array" ref="Q7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2" t="str" cm="1">
        <f t="array" ref="R7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3" spans="1:18" x14ac:dyDescent="0.25">
      <c r="A763" s="14" t="str" cm="1">
        <f t="array" ref="A763">IF(Tasks[[#This Row],[Task]]="","","T-"&amp;TEXT(ROW()-ROW(Tasks[#Headers]),"000"))</f>
        <v/>
      </c>
      <c r="B763" s="15"/>
      <c r="C763" s="15"/>
      <c r="D763" s="15"/>
      <c r="E763" s="15"/>
      <c r="F763" s="16"/>
      <c r="G763" s="16"/>
      <c r="H763" s="16"/>
      <c r="I763" s="15"/>
      <c r="J763" s="15"/>
      <c r="K7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3" s="17" t="str">
        <f>IF(Tasks[[#This Row],[Task]]="","",IFERROR(VLOOKUP(IF(Tasks[[#This Row],[Effort]]="","M",Tasks[[#This Row],[Effort]]),EffortTable,2,FALSE),0))</f>
        <v/>
      </c>
      <c r="N763" t="str">
        <f>IF(Tasks[[#This Row],[Task]]="","",IFERROR(MATCH(Tasks[[#This Row],[Status]],{"Late","Blocked","Due soon"},0),9)*100000+N(Tasks[[#This Row],[Due]]))</f>
        <v/>
      </c>
      <c r="O763" t="str" cm="1">
        <f t="array" aca="1" ref="O7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3" t="str" cm="1">
        <f t="array" ref="P7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3" t="str" cm="1">
        <f t="array" ref="Q7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3" t="str" cm="1">
        <f t="array" ref="R7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4" spans="1:18" x14ac:dyDescent="0.25">
      <c r="A764" s="14" t="str" cm="1">
        <f t="array" ref="A764">IF(Tasks[[#This Row],[Task]]="","","T-"&amp;TEXT(ROW()-ROW(Tasks[#Headers]),"000"))</f>
        <v/>
      </c>
      <c r="B764" s="15"/>
      <c r="C764" s="15"/>
      <c r="D764" s="15"/>
      <c r="E764" s="15"/>
      <c r="F764" s="16"/>
      <c r="G764" s="16"/>
      <c r="H764" s="16"/>
      <c r="I764" s="15"/>
      <c r="J764" s="15"/>
      <c r="K7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4" s="17" t="str">
        <f>IF(Tasks[[#This Row],[Task]]="","",IFERROR(VLOOKUP(IF(Tasks[[#This Row],[Effort]]="","M",Tasks[[#This Row],[Effort]]),EffortTable,2,FALSE),0))</f>
        <v/>
      </c>
      <c r="N764" t="str">
        <f>IF(Tasks[[#This Row],[Task]]="","",IFERROR(MATCH(Tasks[[#This Row],[Status]],{"Late","Blocked","Due soon"},0),9)*100000+N(Tasks[[#This Row],[Due]]))</f>
        <v/>
      </c>
      <c r="O764" t="str" cm="1">
        <f t="array" aca="1" ref="O7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4" t="str" cm="1">
        <f t="array" ref="P7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4" t="str" cm="1">
        <f t="array" ref="Q7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4" t="str" cm="1">
        <f t="array" ref="R7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5" spans="1:18" x14ac:dyDescent="0.25">
      <c r="A765" s="14" t="str" cm="1">
        <f t="array" ref="A765">IF(Tasks[[#This Row],[Task]]="","","T-"&amp;TEXT(ROW()-ROW(Tasks[#Headers]),"000"))</f>
        <v/>
      </c>
      <c r="B765" s="15"/>
      <c r="C765" s="15"/>
      <c r="D765" s="15"/>
      <c r="E765" s="15"/>
      <c r="F765" s="16"/>
      <c r="G765" s="16"/>
      <c r="H765" s="16"/>
      <c r="I765" s="15"/>
      <c r="J765" s="15"/>
      <c r="K7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5" s="17" t="str">
        <f>IF(Tasks[[#This Row],[Task]]="","",IFERROR(VLOOKUP(IF(Tasks[[#This Row],[Effort]]="","M",Tasks[[#This Row],[Effort]]),EffortTable,2,FALSE),0))</f>
        <v/>
      </c>
      <c r="N765" t="str">
        <f>IF(Tasks[[#This Row],[Task]]="","",IFERROR(MATCH(Tasks[[#This Row],[Status]],{"Late","Blocked","Due soon"},0),9)*100000+N(Tasks[[#This Row],[Due]]))</f>
        <v/>
      </c>
      <c r="O765" t="str" cm="1">
        <f t="array" aca="1" ref="O7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5" t="str" cm="1">
        <f t="array" ref="P7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5" t="str" cm="1">
        <f t="array" ref="Q7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5" t="str" cm="1">
        <f t="array" ref="R7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6" spans="1:18" x14ac:dyDescent="0.25">
      <c r="A766" s="14" t="str" cm="1">
        <f t="array" ref="A766">IF(Tasks[[#This Row],[Task]]="","","T-"&amp;TEXT(ROW()-ROW(Tasks[#Headers]),"000"))</f>
        <v/>
      </c>
      <c r="B766" s="15"/>
      <c r="C766" s="15"/>
      <c r="D766" s="15"/>
      <c r="E766" s="15"/>
      <c r="F766" s="16"/>
      <c r="G766" s="16"/>
      <c r="H766" s="16"/>
      <c r="I766" s="15"/>
      <c r="J766" s="15"/>
      <c r="K7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6" s="17" t="str">
        <f>IF(Tasks[[#This Row],[Task]]="","",IFERROR(VLOOKUP(IF(Tasks[[#This Row],[Effort]]="","M",Tasks[[#This Row],[Effort]]),EffortTable,2,FALSE),0))</f>
        <v/>
      </c>
      <c r="N766" t="str">
        <f>IF(Tasks[[#This Row],[Task]]="","",IFERROR(MATCH(Tasks[[#This Row],[Status]],{"Late","Blocked","Due soon"},0),9)*100000+N(Tasks[[#This Row],[Due]]))</f>
        <v/>
      </c>
      <c r="O766" t="str" cm="1">
        <f t="array" aca="1" ref="O7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6" t="str" cm="1">
        <f t="array" ref="P7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6" t="str" cm="1">
        <f t="array" ref="Q7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6" t="str" cm="1">
        <f t="array" ref="R7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7" spans="1:18" x14ac:dyDescent="0.25">
      <c r="A767" s="14" t="str" cm="1">
        <f t="array" ref="A767">IF(Tasks[[#This Row],[Task]]="","","T-"&amp;TEXT(ROW()-ROW(Tasks[#Headers]),"000"))</f>
        <v/>
      </c>
      <c r="B767" s="15"/>
      <c r="C767" s="15"/>
      <c r="D767" s="15"/>
      <c r="E767" s="15"/>
      <c r="F767" s="16"/>
      <c r="G767" s="16"/>
      <c r="H767" s="16"/>
      <c r="I767" s="15"/>
      <c r="J767" s="15"/>
      <c r="K7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7" s="17" t="str">
        <f>IF(Tasks[[#This Row],[Task]]="","",IFERROR(VLOOKUP(IF(Tasks[[#This Row],[Effort]]="","M",Tasks[[#This Row],[Effort]]),EffortTable,2,FALSE),0))</f>
        <v/>
      </c>
      <c r="N767" t="str">
        <f>IF(Tasks[[#This Row],[Task]]="","",IFERROR(MATCH(Tasks[[#This Row],[Status]],{"Late","Blocked","Due soon"},0),9)*100000+N(Tasks[[#This Row],[Due]]))</f>
        <v/>
      </c>
      <c r="O767" t="str" cm="1">
        <f t="array" aca="1" ref="O7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7" t="str" cm="1">
        <f t="array" ref="P7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7" t="str" cm="1">
        <f t="array" ref="Q7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7" t="str" cm="1">
        <f t="array" ref="R7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8" spans="1:18" x14ac:dyDescent="0.25">
      <c r="A768" s="14" t="str" cm="1">
        <f t="array" ref="A768">IF(Tasks[[#This Row],[Task]]="","","T-"&amp;TEXT(ROW()-ROW(Tasks[#Headers]),"000"))</f>
        <v/>
      </c>
      <c r="B768" s="15"/>
      <c r="C768" s="15"/>
      <c r="D768" s="15"/>
      <c r="E768" s="15"/>
      <c r="F768" s="16"/>
      <c r="G768" s="16"/>
      <c r="H768" s="16"/>
      <c r="I768" s="15"/>
      <c r="J768" s="15"/>
      <c r="K7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8" s="17" t="str">
        <f>IF(Tasks[[#This Row],[Task]]="","",IFERROR(VLOOKUP(IF(Tasks[[#This Row],[Effort]]="","M",Tasks[[#This Row],[Effort]]),EffortTable,2,FALSE),0))</f>
        <v/>
      </c>
      <c r="N768" t="str">
        <f>IF(Tasks[[#This Row],[Task]]="","",IFERROR(MATCH(Tasks[[#This Row],[Status]],{"Late","Blocked","Due soon"},0),9)*100000+N(Tasks[[#This Row],[Due]]))</f>
        <v/>
      </c>
      <c r="O768" t="str" cm="1">
        <f t="array" aca="1" ref="O7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8" t="str" cm="1">
        <f t="array" ref="P7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8" t="str" cm="1">
        <f t="array" ref="Q7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8" t="str" cm="1">
        <f t="array" ref="R7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69" spans="1:18" x14ac:dyDescent="0.25">
      <c r="A769" s="14" t="str" cm="1">
        <f t="array" ref="A769">IF(Tasks[[#This Row],[Task]]="","","T-"&amp;TEXT(ROW()-ROW(Tasks[#Headers]),"000"))</f>
        <v/>
      </c>
      <c r="B769" s="15"/>
      <c r="C769" s="15"/>
      <c r="D769" s="15"/>
      <c r="E769" s="15"/>
      <c r="F769" s="16"/>
      <c r="G769" s="16"/>
      <c r="H769" s="16"/>
      <c r="I769" s="15"/>
      <c r="J769" s="15"/>
      <c r="K7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69" s="17" t="str">
        <f>IF(Tasks[[#This Row],[Task]]="","",IFERROR(VLOOKUP(IF(Tasks[[#This Row],[Effort]]="","M",Tasks[[#This Row],[Effort]]),EffortTable,2,FALSE),0))</f>
        <v/>
      </c>
      <c r="N769" t="str">
        <f>IF(Tasks[[#This Row],[Task]]="","",IFERROR(MATCH(Tasks[[#This Row],[Status]],{"Late","Blocked","Due soon"},0),9)*100000+N(Tasks[[#This Row],[Due]]))</f>
        <v/>
      </c>
      <c r="O769" t="str" cm="1">
        <f t="array" aca="1" ref="O7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69" t="str" cm="1">
        <f t="array" ref="P7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69" t="str" cm="1">
        <f t="array" ref="Q7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69" t="str" cm="1">
        <f t="array" ref="R7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0" spans="1:18" x14ac:dyDescent="0.25">
      <c r="A770" s="14" t="str" cm="1">
        <f t="array" ref="A770">IF(Tasks[[#This Row],[Task]]="","","T-"&amp;TEXT(ROW()-ROW(Tasks[#Headers]),"000"))</f>
        <v/>
      </c>
      <c r="B770" s="15"/>
      <c r="C770" s="15"/>
      <c r="D770" s="15"/>
      <c r="E770" s="15"/>
      <c r="F770" s="16"/>
      <c r="G770" s="16"/>
      <c r="H770" s="16"/>
      <c r="I770" s="15"/>
      <c r="J770" s="15"/>
      <c r="K7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0" s="17" t="str">
        <f>IF(Tasks[[#This Row],[Task]]="","",IFERROR(VLOOKUP(IF(Tasks[[#This Row],[Effort]]="","M",Tasks[[#This Row],[Effort]]),EffortTable,2,FALSE),0))</f>
        <v/>
      </c>
      <c r="N770" t="str">
        <f>IF(Tasks[[#This Row],[Task]]="","",IFERROR(MATCH(Tasks[[#This Row],[Status]],{"Late","Blocked","Due soon"},0),9)*100000+N(Tasks[[#This Row],[Due]]))</f>
        <v/>
      </c>
      <c r="O770" t="str" cm="1">
        <f t="array" aca="1" ref="O7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0" t="str" cm="1">
        <f t="array" ref="P7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0" t="str" cm="1">
        <f t="array" ref="Q7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0" t="str" cm="1">
        <f t="array" ref="R7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1" spans="1:18" x14ac:dyDescent="0.25">
      <c r="A771" s="14" t="str" cm="1">
        <f t="array" ref="A771">IF(Tasks[[#This Row],[Task]]="","","T-"&amp;TEXT(ROW()-ROW(Tasks[#Headers]),"000"))</f>
        <v/>
      </c>
      <c r="B771" s="15"/>
      <c r="C771" s="15"/>
      <c r="D771" s="15"/>
      <c r="E771" s="15"/>
      <c r="F771" s="16"/>
      <c r="G771" s="16"/>
      <c r="H771" s="16"/>
      <c r="I771" s="15"/>
      <c r="J771" s="15"/>
      <c r="K7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1" s="17" t="str">
        <f>IF(Tasks[[#This Row],[Task]]="","",IFERROR(VLOOKUP(IF(Tasks[[#This Row],[Effort]]="","M",Tasks[[#This Row],[Effort]]),EffortTable,2,FALSE),0))</f>
        <v/>
      </c>
      <c r="N771" t="str">
        <f>IF(Tasks[[#This Row],[Task]]="","",IFERROR(MATCH(Tasks[[#This Row],[Status]],{"Late","Blocked","Due soon"},0),9)*100000+N(Tasks[[#This Row],[Due]]))</f>
        <v/>
      </c>
      <c r="O771" t="str" cm="1">
        <f t="array" aca="1" ref="O7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1" t="str" cm="1">
        <f t="array" ref="P7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1" t="str" cm="1">
        <f t="array" ref="Q7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1" t="str" cm="1">
        <f t="array" ref="R7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2" spans="1:18" x14ac:dyDescent="0.25">
      <c r="A772" s="14" t="str" cm="1">
        <f t="array" ref="A772">IF(Tasks[[#This Row],[Task]]="","","T-"&amp;TEXT(ROW()-ROW(Tasks[#Headers]),"000"))</f>
        <v/>
      </c>
      <c r="B772" s="15"/>
      <c r="C772" s="15"/>
      <c r="D772" s="15"/>
      <c r="E772" s="15"/>
      <c r="F772" s="16"/>
      <c r="G772" s="16"/>
      <c r="H772" s="16"/>
      <c r="I772" s="15"/>
      <c r="J772" s="15"/>
      <c r="K7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2" s="17" t="str">
        <f>IF(Tasks[[#This Row],[Task]]="","",IFERROR(VLOOKUP(IF(Tasks[[#This Row],[Effort]]="","M",Tasks[[#This Row],[Effort]]),EffortTable,2,FALSE),0))</f>
        <v/>
      </c>
      <c r="N772" t="str">
        <f>IF(Tasks[[#This Row],[Task]]="","",IFERROR(MATCH(Tasks[[#This Row],[Status]],{"Late","Blocked","Due soon"},0),9)*100000+N(Tasks[[#This Row],[Due]]))</f>
        <v/>
      </c>
      <c r="O772" t="str" cm="1">
        <f t="array" aca="1" ref="O7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2" t="str" cm="1">
        <f t="array" ref="P7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2" t="str" cm="1">
        <f t="array" ref="Q7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2" t="str" cm="1">
        <f t="array" ref="R7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3" spans="1:18" x14ac:dyDescent="0.25">
      <c r="A773" s="14" t="str" cm="1">
        <f t="array" ref="A773">IF(Tasks[[#This Row],[Task]]="","","T-"&amp;TEXT(ROW()-ROW(Tasks[#Headers]),"000"))</f>
        <v/>
      </c>
      <c r="B773" s="15"/>
      <c r="C773" s="15"/>
      <c r="D773" s="15"/>
      <c r="E773" s="15"/>
      <c r="F773" s="16"/>
      <c r="G773" s="16"/>
      <c r="H773" s="16"/>
      <c r="I773" s="15"/>
      <c r="J773" s="15"/>
      <c r="K7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3" s="17" t="str">
        <f>IF(Tasks[[#This Row],[Task]]="","",IFERROR(VLOOKUP(IF(Tasks[[#This Row],[Effort]]="","M",Tasks[[#This Row],[Effort]]),EffortTable,2,FALSE),0))</f>
        <v/>
      </c>
      <c r="N773" t="str">
        <f>IF(Tasks[[#This Row],[Task]]="","",IFERROR(MATCH(Tasks[[#This Row],[Status]],{"Late","Blocked","Due soon"},0),9)*100000+N(Tasks[[#This Row],[Due]]))</f>
        <v/>
      </c>
      <c r="O773" t="str" cm="1">
        <f t="array" aca="1" ref="O7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3" t="str" cm="1">
        <f t="array" ref="P7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3" t="str" cm="1">
        <f t="array" ref="Q7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3" t="str" cm="1">
        <f t="array" ref="R7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4" spans="1:18" x14ac:dyDescent="0.25">
      <c r="A774" s="14" t="str" cm="1">
        <f t="array" ref="A774">IF(Tasks[[#This Row],[Task]]="","","T-"&amp;TEXT(ROW()-ROW(Tasks[#Headers]),"000"))</f>
        <v/>
      </c>
      <c r="B774" s="15"/>
      <c r="C774" s="15"/>
      <c r="D774" s="15"/>
      <c r="E774" s="15"/>
      <c r="F774" s="16"/>
      <c r="G774" s="16"/>
      <c r="H774" s="16"/>
      <c r="I774" s="15"/>
      <c r="J774" s="15"/>
      <c r="K7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4" s="17" t="str">
        <f>IF(Tasks[[#This Row],[Task]]="","",IFERROR(VLOOKUP(IF(Tasks[[#This Row],[Effort]]="","M",Tasks[[#This Row],[Effort]]),EffortTable,2,FALSE),0))</f>
        <v/>
      </c>
      <c r="N774" t="str">
        <f>IF(Tasks[[#This Row],[Task]]="","",IFERROR(MATCH(Tasks[[#This Row],[Status]],{"Late","Blocked","Due soon"},0),9)*100000+N(Tasks[[#This Row],[Due]]))</f>
        <v/>
      </c>
      <c r="O774" t="str" cm="1">
        <f t="array" aca="1" ref="O7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4" t="str" cm="1">
        <f t="array" ref="P7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4" t="str" cm="1">
        <f t="array" ref="Q7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4" t="str" cm="1">
        <f t="array" ref="R7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5" spans="1:18" x14ac:dyDescent="0.25">
      <c r="A775" s="14" t="str" cm="1">
        <f t="array" ref="A775">IF(Tasks[[#This Row],[Task]]="","","T-"&amp;TEXT(ROW()-ROW(Tasks[#Headers]),"000"))</f>
        <v/>
      </c>
      <c r="B775" s="15"/>
      <c r="C775" s="15"/>
      <c r="D775" s="15"/>
      <c r="E775" s="15"/>
      <c r="F775" s="16"/>
      <c r="G775" s="16"/>
      <c r="H775" s="16"/>
      <c r="I775" s="15"/>
      <c r="J775" s="15"/>
      <c r="K7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5" s="17" t="str">
        <f>IF(Tasks[[#This Row],[Task]]="","",IFERROR(VLOOKUP(IF(Tasks[[#This Row],[Effort]]="","M",Tasks[[#This Row],[Effort]]),EffortTable,2,FALSE),0))</f>
        <v/>
      </c>
      <c r="N775" t="str">
        <f>IF(Tasks[[#This Row],[Task]]="","",IFERROR(MATCH(Tasks[[#This Row],[Status]],{"Late","Blocked","Due soon"},0),9)*100000+N(Tasks[[#This Row],[Due]]))</f>
        <v/>
      </c>
      <c r="O775" t="str" cm="1">
        <f t="array" aca="1" ref="O7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5" t="str" cm="1">
        <f t="array" ref="P7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5" t="str" cm="1">
        <f t="array" ref="Q7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5" t="str" cm="1">
        <f t="array" ref="R7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6" spans="1:18" x14ac:dyDescent="0.25">
      <c r="A776" s="14" t="str" cm="1">
        <f t="array" ref="A776">IF(Tasks[[#This Row],[Task]]="","","T-"&amp;TEXT(ROW()-ROW(Tasks[#Headers]),"000"))</f>
        <v/>
      </c>
      <c r="B776" s="15"/>
      <c r="C776" s="15"/>
      <c r="D776" s="15"/>
      <c r="E776" s="15"/>
      <c r="F776" s="16"/>
      <c r="G776" s="16"/>
      <c r="H776" s="16"/>
      <c r="I776" s="15"/>
      <c r="J776" s="15"/>
      <c r="K7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6" s="17" t="str">
        <f>IF(Tasks[[#This Row],[Task]]="","",IFERROR(VLOOKUP(IF(Tasks[[#This Row],[Effort]]="","M",Tasks[[#This Row],[Effort]]),EffortTable,2,FALSE),0))</f>
        <v/>
      </c>
      <c r="N776" t="str">
        <f>IF(Tasks[[#This Row],[Task]]="","",IFERROR(MATCH(Tasks[[#This Row],[Status]],{"Late","Blocked","Due soon"},0),9)*100000+N(Tasks[[#This Row],[Due]]))</f>
        <v/>
      </c>
      <c r="O776" t="str" cm="1">
        <f t="array" aca="1" ref="O7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6" t="str" cm="1">
        <f t="array" ref="P7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6" t="str" cm="1">
        <f t="array" ref="Q7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6" t="str" cm="1">
        <f t="array" ref="R7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7" spans="1:18" x14ac:dyDescent="0.25">
      <c r="A777" s="14" t="str" cm="1">
        <f t="array" ref="A777">IF(Tasks[[#This Row],[Task]]="","","T-"&amp;TEXT(ROW()-ROW(Tasks[#Headers]),"000"))</f>
        <v/>
      </c>
      <c r="B777" s="15"/>
      <c r="C777" s="15"/>
      <c r="D777" s="15"/>
      <c r="E777" s="15"/>
      <c r="F777" s="16"/>
      <c r="G777" s="16"/>
      <c r="H777" s="16"/>
      <c r="I777" s="15"/>
      <c r="J777" s="15"/>
      <c r="K7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7" s="17" t="str">
        <f>IF(Tasks[[#This Row],[Task]]="","",IFERROR(VLOOKUP(IF(Tasks[[#This Row],[Effort]]="","M",Tasks[[#This Row],[Effort]]),EffortTable,2,FALSE),0))</f>
        <v/>
      </c>
      <c r="N777" t="str">
        <f>IF(Tasks[[#This Row],[Task]]="","",IFERROR(MATCH(Tasks[[#This Row],[Status]],{"Late","Blocked","Due soon"},0),9)*100000+N(Tasks[[#This Row],[Due]]))</f>
        <v/>
      </c>
      <c r="O777" t="str" cm="1">
        <f t="array" aca="1" ref="O7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7" t="str" cm="1">
        <f t="array" ref="P7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7" t="str" cm="1">
        <f t="array" ref="Q7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7" t="str" cm="1">
        <f t="array" ref="R7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8" spans="1:18" x14ac:dyDescent="0.25">
      <c r="A778" s="14" t="str" cm="1">
        <f t="array" ref="A778">IF(Tasks[[#This Row],[Task]]="","","T-"&amp;TEXT(ROW()-ROW(Tasks[#Headers]),"000"))</f>
        <v/>
      </c>
      <c r="B778" s="15"/>
      <c r="C778" s="15"/>
      <c r="D778" s="15"/>
      <c r="E778" s="15"/>
      <c r="F778" s="16"/>
      <c r="G778" s="16"/>
      <c r="H778" s="16"/>
      <c r="I778" s="15"/>
      <c r="J778" s="15"/>
      <c r="K7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8" s="17" t="str">
        <f>IF(Tasks[[#This Row],[Task]]="","",IFERROR(VLOOKUP(IF(Tasks[[#This Row],[Effort]]="","M",Tasks[[#This Row],[Effort]]),EffortTable,2,FALSE),0))</f>
        <v/>
      </c>
      <c r="N778" t="str">
        <f>IF(Tasks[[#This Row],[Task]]="","",IFERROR(MATCH(Tasks[[#This Row],[Status]],{"Late","Blocked","Due soon"},0),9)*100000+N(Tasks[[#This Row],[Due]]))</f>
        <v/>
      </c>
      <c r="O778" t="str" cm="1">
        <f t="array" aca="1" ref="O7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8" t="str" cm="1">
        <f t="array" ref="P7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8" t="str" cm="1">
        <f t="array" ref="Q7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8" t="str" cm="1">
        <f t="array" ref="R7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79" spans="1:18" x14ac:dyDescent="0.25">
      <c r="A779" s="14" t="str" cm="1">
        <f t="array" ref="A779">IF(Tasks[[#This Row],[Task]]="","","T-"&amp;TEXT(ROW()-ROW(Tasks[#Headers]),"000"))</f>
        <v/>
      </c>
      <c r="B779" s="15"/>
      <c r="C779" s="15"/>
      <c r="D779" s="15"/>
      <c r="E779" s="15"/>
      <c r="F779" s="16"/>
      <c r="G779" s="16"/>
      <c r="H779" s="16"/>
      <c r="I779" s="15"/>
      <c r="J779" s="15"/>
      <c r="K7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79" s="17" t="str">
        <f>IF(Tasks[[#This Row],[Task]]="","",IFERROR(VLOOKUP(IF(Tasks[[#This Row],[Effort]]="","M",Tasks[[#This Row],[Effort]]),EffortTable,2,FALSE),0))</f>
        <v/>
      </c>
      <c r="N779" t="str">
        <f>IF(Tasks[[#This Row],[Task]]="","",IFERROR(MATCH(Tasks[[#This Row],[Status]],{"Late","Blocked","Due soon"},0),9)*100000+N(Tasks[[#This Row],[Due]]))</f>
        <v/>
      </c>
      <c r="O779" t="str" cm="1">
        <f t="array" aca="1" ref="O7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79" t="str" cm="1">
        <f t="array" ref="P7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79" t="str" cm="1">
        <f t="array" ref="Q7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79" t="str" cm="1">
        <f t="array" ref="R7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0" spans="1:18" x14ac:dyDescent="0.25">
      <c r="A780" s="14" t="str" cm="1">
        <f t="array" ref="A780">IF(Tasks[[#This Row],[Task]]="","","T-"&amp;TEXT(ROW()-ROW(Tasks[#Headers]),"000"))</f>
        <v/>
      </c>
      <c r="B780" s="15"/>
      <c r="C780" s="15"/>
      <c r="D780" s="15"/>
      <c r="E780" s="15"/>
      <c r="F780" s="16"/>
      <c r="G780" s="16"/>
      <c r="H780" s="16"/>
      <c r="I780" s="15"/>
      <c r="J780" s="15"/>
      <c r="K7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0" s="17" t="str">
        <f>IF(Tasks[[#This Row],[Task]]="","",IFERROR(VLOOKUP(IF(Tasks[[#This Row],[Effort]]="","M",Tasks[[#This Row],[Effort]]),EffortTable,2,FALSE),0))</f>
        <v/>
      </c>
      <c r="N780" t="str">
        <f>IF(Tasks[[#This Row],[Task]]="","",IFERROR(MATCH(Tasks[[#This Row],[Status]],{"Late","Blocked","Due soon"},0),9)*100000+N(Tasks[[#This Row],[Due]]))</f>
        <v/>
      </c>
      <c r="O780" t="str" cm="1">
        <f t="array" aca="1" ref="O7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0" t="str" cm="1">
        <f t="array" ref="P7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0" t="str" cm="1">
        <f t="array" ref="Q7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0" t="str" cm="1">
        <f t="array" ref="R7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1" spans="1:18" x14ac:dyDescent="0.25">
      <c r="A781" s="14" t="str" cm="1">
        <f t="array" ref="A781">IF(Tasks[[#This Row],[Task]]="","","T-"&amp;TEXT(ROW()-ROW(Tasks[#Headers]),"000"))</f>
        <v/>
      </c>
      <c r="B781" s="15"/>
      <c r="C781" s="15"/>
      <c r="D781" s="15"/>
      <c r="E781" s="15"/>
      <c r="F781" s="16"/>
      <c r="G781" s="16"/>
      <c r="H781" s="16"/>
      <c r="I781" s="15"/>
      <c r="J781" s="15"/>
      <c r="K7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1" s="17" t="str">
        <f>IF(Tasks[[#This Row],[Task]]="","",IFERROR(VLOOKUP(IF(Tasks[[#This Row],[Effort]]="","M",Tasks[[#This Row],[Effort]]),EffortTable,2,FALSE),0))</f>
        <v/>
      </c>
      <c r="N781" t="str">
        <f>IF(Tasks[[#This Row],[Task]]="","",IFERROR(MATCH(Tasks[[#This Row],[Status]],{"Late","Blocked","Due soon"},0),9)*100000+N(Tasks[[#This Row],[Due]]))</f>
        <v/>
      </c>
      <c r="O781" t="str" cm="1">
        <f t="array" aca="1" ref="O7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1" t="str" cm="1">
        <f t="array" ref="P7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1" t="str" cm="1">
        <f t="array" ref="Q7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1" t="str" cm="1">
        <f t="array" ref="R7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2" spans="1:18" x14ac:dyDescent="0.25">
      <c r="A782" s="14" t="str" cm="1">
        <f t="array" ref="A782">IF(Tasks[[#This Row],[Task]]="","","T-"&amp;TEXT(ROW()-ROW(Tasks[#Headers]),"000"))</f>
        <v/>
      </c>
      <c r="B782" s="15"/>
      <c r="C782" s="15"/>
      <c r="D782" s="15"/>
      <c r="E782" s="15"/>
      <c r="F782" s="16"/>
      <c r="G782" s="16"/>
      <c r="H782" s="16"/>
      <c r="I782" s="15"/>
      <c r="J782" s="15"/>
      <c r="K7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2" s="17" t="str">
        <f>IF(Tasks[[#This Row],[Task]]="","",IFERROR(VLOOKUP(IF(Tasks[[#This Row],[Effort]]="","M",Tasks[[#This Row],[Effort]]),EffortTable,2,FALSE),0))</f>
        <v/>
      </c>
      <c r="N782" t="str">
        <f>IF(Tasks[[#This Row],[Task]]="","",IFERROR(MATCH(Tasks[[#This Row],[Status]],{"Late","Blocked","Due soon"},0),9)*100000+N(Tasks[[#This Row],[Due]]))</f>
        <v/>
      </c>
      <c r="O782" t="str" cm="1">
        <f t="array" aca="1" ref="O7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2" t="str" cm="1">
        <f t="array" ref="P7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2" t="str" cm="1">
        <f t="array" ref="Q7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2" t="str" cm="1">
        <f t="array" ref="R7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3" spans="1:18" x14ac:dyDescent="0.25">
      <c r="A783" s="14" t="str" cm="1">
        <f t="array" ref="A783">IF(Tasks[[#This Row],[Task]]="","","T-"&amp;TEXT(ROW()-ROW(Tasks[#Headers]),"000"))</f>
        <v/>
      </c>
      <c r="B783" s="15"/>
      <c r="C783" s="15"/>
      <c r="D783" s="15"/>
      <c r="E783" s="15"/>
      <c r="F783" s="16"/>
      <c r="G783" s="16"/>
      <c r="H783" s="16"/>
      <c r="I783" s="15"/>
      <c r="J783" s="15"/>
      <c r="K7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3" s="17" t="str">
        <f>IF(Tasks[[#This Row],[Task]]="","",IFERROR(VLOOKUP(IF(Tasks[[#This Row],[Effort]]="","M",Tasks[[#This Row],[Effort]]),EffortTable,2,FALSE),0))</f>
        <v/>
      </c>
      <c r="N783" t="str">
        <f>IF(Tasks[[#This Row],[Task]]="","",IFERROR(MATCH(Tasks[[#This Row],[Status]],{"Late","Blocked","Due soon"},0),9)*100000+N(Tasks[[#This Row],[Due]]))</f>
        <v/>
      </c>
      <c r="O783" t="str" cm="1">
        <f t="array" aca="1" ref="O7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3" t="str" cm="1">
        <f t="array" ref="P7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3" t="str" cm="1">
        <f t="array" ref="Q7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3" t="str" cm="1">
        <f t="array" ref="R7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4" spans="1:18" x14ac:dyDescent="0.25">
      <c r="A784" s="14" t="str" cm="1">
        <f t="array" ref="A784">IF(Tasks[[#This Row],[Task]]="","","T-"&amp;TEXT(ROW()-ROW(Tasks[#Headers]),"000"))</f>
        <v/>
      </c>
      <c r="B784" s="15"/>
      <c r="C784" s="15"/>
      <c r="D784" s="15"/>
      <c r="E784" s="15"/>
      <c r="F784" s="16"/>
      <c r="G784" s="16"/>
      <c r="H784" s="16"/>
      <c r="I784" s="15"/>
      <c r="J784" s="15"/>
      <c r="K7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4" s="17" t="str">
        <f>IF(Tasks[[#This Row],[Task]]="","",IFERROR(VLOOKUP(IF(Tasks[[#This Row],[Effort]]="","M",Tasks[[#This Row],[Effort]]),EffortTable,2,FALSE),0))</f>
        <v/>
      </c>
      <c r="N784" t="str">
        <f>IF(Tasks[[#This Row],[Task]]="","",IFERROR(MATCH(Tasks[[#This Row],[Status]],{"Late","Blocked","Due soon"},0),9)*100000+N(Tasks[[#This Row],[Due]]))</f>
        <v/>
      </c>
      <c r="O784" t="str" cm="1">
        <f t="array" aca="1" ref="O7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4" t="str" cm="1">
        <f t="array" ref="P7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4" t="str" cm="1">
        <f t="array" ref="Q7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4" t="str" cm="1">
        <f t="array" ref="R7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5" spans="1:18" x14ac:dyDescent="0.25">
      <c r="A785" s="14" t="str" cm="1">
        <f t="array" ref="A785">IF(Tasks[[#This Row],[Task]]="","","T-"&amp;TEXT(ROW()-ROW(Tasks[#Headers]),"000"))</f>
        <v/>
      </c>
      <c r="B785" s="15"/>
      <c r="C785" s="15"/>
      <c r="D785" s="15"/>
      <c r="E785" s="15"/>
      <c r="F785" s="16"/>
      <c r="G785" s="16"/>
      <c r="H785" s="16"/>
      <c r="I785" s="15"/>
      <c r="J785" s="15"/>
      <c r="K7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5" s="17" t="str">
        <f>IF(Tasks[[#This Row],[Task]]="","",IFERROR(VLOOKUP(IF(Tasks[[#This Row],[Effort]]="","M",Tasks[[#This Row],[Effort]]),EffortTable,2,FALSE),0))</f>
        <v/>
      </c>
      <c r="N785" t="str">
        <f>IF(Tasks[[#This Row],[Task]]="","",IFERROR(MATCH(Tasks[[#This Row],[Status]],{"Late","Blocked","Due soon"},0),9)*100000+N(Tasks[[#This Row],[Due]]))</f>
        <v/>
      </c>
      <c r="O785" t="str" cm="1">
        <f t="array" aca="1" ref="O7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5" t="str" cm="1">
        <f t="array" ref="P7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5" t="str" cm="1">
        <f t="array" ref="Q7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5" t="str" cm="1">
        <f t="array" ref="R7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6" spans="1:18" x14ac:dyDescent="0.25">
      <c r="A786" s="14" t="str" cm="1">
        <f t="array" ref="A786">IF(Tasks[[#This Row],[Task]]="","","T-"&amp;TEXT(ROW()-ROW(Tasks[#Headers]),"000"))</f>
        <v/>
      </c>
      <c r="B786" s="15"/>
      <c r="C786" s="15"/>
      <c r="D786" s="15"/>
      <c r="E786" s="15"/>
      <c r="F786" s="16"/>
      <c r="G786" s="16"/>
      <c r="H786" s="16"/>
      <c r="I786" s="15"/>
      <c r="J786" s="15"/>
      <c r="K7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6" s="17" t="str">
        <f>IF(Tasks[[#This Row],[Task]]="","",IFERROR(VLOOKUP(IF(Tasks[[#This Row],[Effort]]="","M",Tasks[[#This Row],[Effort]]),EffortTable,2,FALSE),0))</f>
        <v/>
      </c>
      <c r="N786" t="str">
        <f>IF(Tasks[[#This Row],[Task]]="","",IFERROR(MATCH(Tasks[[#This Row],[Status]],{"Late","Blocked","Due soon"},0),9)*100000+N(Tasks[[#This Row],[Due]]))</f>
        <v/>
      </c>
      <c r="O786" t="str" cm="1">
        <f t="array" aca="1" ref="O7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6" t="str" cm="1">
        <f t="array" ref="P7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6" t="str" cm="1">
        <f t="array" ref="Q7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6" t="str" cm="1">
        <f t="array" ref="R7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7" spans="1:18" x14ac:dyDescent="0.25">
      <c r="A787" s="14" t="str" cm="1">
        <f t="array" ref="A787">IF(Tasks[[#This Row],[Task]]="","","T-"&amp;TEXT(ROW()-ROW(Tasks[#Headers]),"000"))</f>
        <v/>
      </c>
      <c r="B787" s="15"/>
      <c r="C787" s="15"/>
      <c r="D787" s="15"/>
      <c r="E787" s="15"/>
      <c r="F787" s="16"/>
      <c r="G787" s="16"/>
      <c r="H787" s="16"/>
      <c r="I787" s="15"/>
      <c r="J787" s="15"/>
      <c r="K7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7" s="17" t="str">
        <f>IF(Tasks[[#This Row],[Task]]="","",IFERROR(VLOOKUP(IF(Tasks[[#This Row],[Effort]]="","M",Tasks[[#This Row],[Effort]]),EffortTable,2,FALSE),0))</f>
        <v/>
      </c>
      <c r="N787" t="str">
        <f>IF(Tasks[[#This Row],[Task]]="","",IFERROR(MATCH(Tasks[[#This Row],[Status]],{"Late","Blocked","Due soon"},0),9)*100000+N(Tasks[[#This Row],[Due]]))</f>
        <v/>
      </c>
      <c r="O787" t="str" cm="1">
        <f t="array" aca="1" ref="O7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7" t="str" cm="1">
        <f t="array" ref="P7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7" t="str" cm="1">
        <f t="array" ref="Q7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7" t="str" cm="1">
        <f t="array" ref="R7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8" spans="1:18" x14ac:dyDescent="0.25">
      <c r="A788" s="14" t="str" cm="1">
        <f t="array" ref="A788">IF(Tasks[[#This Row],[Task]]="","","T-"&amp;TEXT(ROW()-ROW(Tasks[#Headers]),"000"))</f>
        <v/>
      </c>
      <c r="B788" s="15"/>
      <c r="C788" s="15"/>
      <c r="D788" s="15"/>
      <c r="E788" s="15"/>
      <c r="F788" s="16"/>
      <c r="G788" s="16"/>
      <c r="H788" s="16"/>
      <c r="I788" s="15"/>
      <c r="J788" s="15"/>
      <c r="K7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8" s="17" t="str">
        <f>IF(Tasks[[#This Row],[Task]]="","",IFERROR(VLOOKUP(IF(Tasks[[#This Row],[Effort]]="","M",Tasks[[#This Row],[Effort]]),EffortTable,2,FALSE),0))</f>
        <v/>
      </c>
      <c r="N788" t="str">
        <f>IF(Tasks[[#This Row],[Task]]="","",IFERROR(MATCH(Tasks[[#This Row],[Status]],{"Late","Blocked","Due soon"},0),9)*100000+N(Tasks[[#This Row],[Due]]))</f>
        <v/>
      </c>
      <c r="O788" t="str" cm="1">
        <f t="array" aca="1" ref="O7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8" t="str" cm="1">
        <f t="array" ref="P7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8" t="str" cm="1">
        <f t="array" ref="Q7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8" t="str" cm="1">
        <f t="array" ref="R7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89" spans="1:18" x14ac:dyDescent="0.25">
      <c r="A789" s="14" t="str" cm="1">
        <f t="array" ref="A789">IF(Tasks[[#This Row],[Task]]="","","T-"&amp;TEXT(ROW()-ROW(Tasks[#Headers]),"000"))</f>
        <v/>
      </c>
      <c r="B789" s="15"/>
      <c r="C789" s="15"/>
      <c r="D789" s="15"/>
      <c r="E789" s="15"/>
      <c r="F789" s="16"/>
      <c r="G789" s="16"/>
      <c r="H789" s="16"/>
      <c r="I789" s="15"/>
      <c r="J789" s="15"/>
      <c r="K7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89" s="17" t="str">
        <f>IF(Tasks[[#This Row],[Task]]="","",IFERROR(VLOOKUP(IF(Tasks[[#This Row],[Effort]]="","M",Tasks[[#This Row],[Effort]]),EffortTable,2,FALSE),0))</f>
        <v/>
      </c>
      <c r="N789" t="str">
        <f>IF(Tasks[[#This Row],[Task]]="","",IFERROR(MATCH(Tasks[[#This Row],[Status]],{"Late","Blocked","Due soon"},0),9)*100000+N(Tasks[[#This Row],[Due]]))</f>
        <v/>
      </c>
      <c r="O789" t="str" cm="1">
        <f t="array" aca="1" ref="O7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89" t="str" cm="1">
        <f t="array" ref="P7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89" t="str" cm="1">
        <f t="array" ref="Q7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89" t="str" cm="1">
        <f t="array" ref="R7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0" spans="1:18" x14ac:dyDescent="0.25">
      <c r="A790" s="14" t="str" cm="1">
        <f t="array" ref="A790">IF(Tasks[[#This Row],[Task]]="","","T-"&amp;TEXT(ROW()-ROW(Tasks[#Headers]),"000"))</f>
        <v/>
      </c>
      <c r="B790" s="15"/>
      <c r="C790" s="15"/>
      <c r="D790" s="15"/>
      <c r="E790" s="15"/>
      <c r="F790" s="16"/>
      <c r="G790" s="16"/>
      <c r="H790" s="16"/>
      <c r="I790" s="15"/>
      <c r="J790" s="15"/>
      <c r="K7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0" s="17" t="str">
        <f>IF(Tasks[[#This Row],[Task]]="","",IFERROR(VLOOKUP(IF(Tasks[[#This Row],[Effort]]="","M",Tasks[[#This Row],[Effort]]),EffortTable,2,FALSE),0))</f>
        <v/>
      </c>
      <c r="N790" t="str">
        <f>IF(Tasks[[#This Row],[Task]]="","",IFERROR(MATCH(Tasks[[#This Row],[Status]],{"Late","Blocked","Due soon"},0),9)*100000+N(Tasks[[#This Row],[Due]]))</f>
        <v/>
      </c>
      <c r="O790" t="str" cm="1">
        <f t="array" aca="1" ref="O7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0" t="str" cm="1">
        <f t="array" ref="P7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0" t="str" cm="1">
        <f t="array" ref="Q7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0" t="str" cm="1">
        <f t="array" ref="R7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1" spans="1:18" x14ac:dyDescent="0.25">
      <c r="A791" s="14" t="str" cm="1">
        <f t="array" ref="A791">IF(Tasks[[#This Row],[Task]]="","","T-"&amp;TEXT(ROW()-ROW(Tasks[#Headers]),"000"))</f>
        <v/>
      </c>
      <c r="B791" s="15"/>
      <c r="C791" s="15"/>
      <c r="D791" s="15"/>
      <c r="E791" s="15"/>
      <c r="F791" s="16"/>
      <c r="G791" s="16"/>
      <c r="H791" s="16"/>
      <c r="I791" s="15"/>
      <c r="J791" s="15"/>
      <c r="K7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1" s="17" t="str">
        <f>IF(Tasks[[#This Row],[Task]]="","",IFERROR(VLOOKUP(IF(Tasks[[#This Row],[Effort]]="","M",Tasks[[#This Row],[Effort]]),EffortTable,2,FALSE),0))</f>
        <v/>
      </c>
      <c r="N791" t="str">
        <f>IF(Tasks[[#This Row],[Task]]="","",IFERROR(MATCH(Tasks[[#This Row],[Status]],{"Late","Blocked","Due soon"},0),9)*100000+N(Tasks[[#This Row],[Due]]))</f>
        <v/>
      </c>
      <c r="O791" t="str" cm="1">
        <f t="array" aca="1" ref="O7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1" t="str" cm="1">
        <f t="array" ref="P7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1" t="str" cm="1">
        <f t="array" ref="Q7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1" t="str" cm="1">
        <f t="array" ref="R7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2" spans="1:18" x14ac:dyDescent="0.25">
      <c r="A792" s="14" t="str" cm="1">
        <f t="array" ref="A792">IF(Tasks[[#This Row],[Task]]="","","T-"&amp;TEXT(ROW()-ROW(Tasks[#Headers]),"000"))</f>
        <v/>
      </c>
      <c r="B792" s="15"/>
      <c r="C792" s="15"/>
      <c r="D792" s="15"/>
      <c r="E792" s="15"/>
      <c r="F792" s="16"/>
      <c r="G792" s="16"/>
      <c r="H792" s="16"/>
      <c r="I792" s="15"/>
      <c r="J792" s="15"/>
      <c r="K7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2" s="17" t="str">
        <f>IF(Tasks[[#This Row],[Task]]="","",IFERROR(VLOOKUP(IF(Tasks[[#This Row],[Effort]]="","M",Tasks[[#This Row],[Effort]]),EffortTable,2,FALSE),0))</f>
        <v/>
      </c>
      <c r="N792" t="str">
        <f>IF(Tasks[[#This Row],[Task]]="","",IFERROR(MATCH(Tasks[[#This Row],[Status]],{"Late","Blocked","Due soon"},0),9)*100000+N(Tasks[[#This Row],[Due]]))</f>
        <v/>
      </c>
      <c r="O792" t="str" cm="1">
        <f t="array" aca="1" ref="O7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2" t="str" cm="1">
        <f t="array" ref="P7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2" t="str" cm="1">
        <f t="array" ref="Q7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2" t="str" cm="1">
        <f t="array" ref="R7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3" spans="1:18" x14ac:dyDescent="0.25">
      <c r="A793" s="14" t="str" cm="1">
        <f t="array" ref="A793">IF(Tasks[[#This Row],[Task]]="","","T-"&amp;TEXT(ROW()-ROW(Tasks[#Headers]),"000"))</f>
        <v/>
      </c>
      <c r="B793" s="15"/>
      <c r="C793" s="15"/>
      <c r="D793" s="15"/>
      <c r="E793" s="15"/>
      <c r="F793" s="16"/>
      <c r="G793" s="16"/>
      <c r="H793" s="16"/>
      <c r="I793" s="15"/>
      <c r="J793" s="15"/>
      <c r="K7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3" s="17" t="str">
        <f>IF(Tasks[[#This Row],[Task]]="","",IFERROR(VLOOKUP(IF(Tasks[[#This Row],[Effort]]="","M",Tasks[[#This Row],[Effort]]),EffortTable,2,FALSE),0))</f>
        <v/>
      </c>
      <c r="N793" t="str">
        <f>IF(Tasks[[#This Row],[Task]]="","",IFERROR(MATCH(Tasks[[#This Row],[Status]],{"Late","Blocked","Due soon"},0),9)*100000+N(Tasks[[#This Row],[Due]]))</f>
        <v/>
      </c>
      <c r="O793" t="str" cm="1">
        <f t="array" aca="1" ref="O7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3" t="str" cm="1">
        <f t="array" ref="P7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3" t="str" cm="1">
        <f t="array" ref="Q7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3" t="str" cm="1">
        <f t="array" ref="R7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4" spans="1:18" x14ac:dyDescent="0.25">
      <c r="A794" s="14" t="str" cm="1">
        <f t="array" ref="A794">IF(Tasks[[#This Row],[Task]]="","","T-"&amp;TEXT(ROW()-ROW(Tasks[#Headers]),"000"))</f>
        <v/>
      </c>
      <c r="B794" s="15"/>
      <c r="C794" s="15"/>
      <c r="D794" s="15"/>
      <c r="E794" s="15"/>
      <c r="F794" s="16"/>
      <c r="G794" s="16"/>
      <c r="H794" s="16"/>
      <c r="I794" s="15"/>
      <c r="J794" s="15"/>
      <c r="K7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4" s="17" t="str">
        <f>IF(Tasks[[#This Row],[Task]]="","",IFERROR(VLOOKUP(IF(Tasks[[#This Row],[Effort]]="","M",Tasks[[#This Row],[Effort]]),EffortTable,2,FALSE),0))</f>
        <v/>
      </c>
      <c r="N794" t="str">
        <f>IF(Tasks[[#This Row],[Task]]="","",IFERROR(MATCH(Tasks[[#This Row],[Status]],{"Late","Blocked","Due soon"},0),9)*100000+N(Tasks[[#This Row],[Due]]))</f>
        <v/>
      </c>
      <c r="O794" t="str" cm="1">
        <f t="array" aca="1" ref="O7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4" t="str" cm="1">
        <f t="array" ref="P7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4" t="str" cm="1">
        <f t="array" ref="Q7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4" t="str" cm="1">
        <f t="array" ref="R7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5" spans="1:18" x14ac:dyDescent="0.25">
      <c r="A795" s="14" t="str" cm="1">
        <f t="array" ref="A795">IF(Tasks[[#This Row],[Task]]="","","T-"&amp;TEXT(ROW()-ROW(Tasks[#Headers]),"000"))</f>
        <v/>
      </c>
      <c r="B795" s="15"/>
      <c r="C795" s="15"/>
      <c r="D795" s="15"/>
      <c r="E795" s="15"/>
      <c r="F795" s="16"/>
      <c r="G795" s="16"/>
      <c r="H795" s="16"/>
      <c r="I795" s="15"/>
      <c r="J795" s="15"/>
      <c r="K7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5" s="17" t="str">
        <f>IF(Tasks[[#This Row],[Task]]="","",IFERROR(VLOOKUP(IF(Tasks[[#This Row],[Effort]]="","M",Tasks[[#This Row],[Effort]]),EffortTable,2,FALSE),0))</f>
        <v/>
      </c>
      <c r="N795" t="str">
        <f>IF(Tasks[[#This Row],[Task]]="","",IFERROR(MATCH(Tasks[[#This Row],[Status]],{"Late","Blocked","Due soon"},0),9)*100000+N(Tasks[[#This Row],[Due]]))</f>
        <v/>
      </c>
      <c r="O795" t="str" cm="1">
        <f t="array" aca="1" ref="O7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5" t="str" cm="1">
        <f t="array" ref="P7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5" t="str" cm="1">
        <f t="array" ref="Q7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5" t="str" cm="1">
        <f t="array" ref="R7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6" spans="1:18" x14ac:dyDescent="0.25">
      <c r="A796" s="14" t="str" cm="1">
        <f t="array" ref="A796">IF(Tasks[[#This Row],[Task]]="","","T-"&amp;TEXT(ROW()-ROW(Tasks[#Headers]),"000"))</f>
        <v/>
      </c>
      <c r="B796" s="15"/>
      <c r="C796" s="15"/>
      <c r="D796" s="15"/>
      <c r="E796" s="15"/>
      <c r="F796" s="16"/>
      <c r="G796" s="16"/>
      <c r="H796" s="16"/>
      <c r="I796" s="15"/>
      <c r="J796" s="15"/>
      <c r="K7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6" s="17" t="str">
        <f>IF(Tasks[[#This Row],[Task]]="","",IFERROR(VLOOKUP(IF(Tasks[[#This Row],[Effort]]="","M",Tasks[[#This Row],[Effort]]),EffortTable,2,FALSE),0))</f>
        <v/>
      </c>
      <c r="N796" t="str">
        <f>IF(Tasks[[#This Row],[Task]]="","",IFERROR(MATCH(Tasks[[#This Row],[Status]],{"Late","Blocked","Due soon"},0),9)*100000+N(Tasks[[#This Row],[Due]]))</f>
        <v/>
      </c>
      <c r="O796" t="str" cm="1">
        <f t="array" aca="1" ref="O7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6" t="str" cm="1">
        <f t="array" ref="P7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6" t="str" cm="1">
        <f t="array" ref="Q7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6" t="str" cm="1">
        <f t="array" ref="R7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7" spans="1:18" x14ac:dyDescent="0.25">
      <c r="A797" s="14" t="str" cm="1">
        <f t="array" ref="A797">IF(Tasks[[#This Row],[Task]]="","","T-"&amp;TEXT(ROW()-ROW(Tasks[#Headers]),"000"))</f>
        <v/>
      </c>
      <c r="B797" s="15"/>
      <c r="C797" s="15"/>
      <c r="D797" s="15"/>
      <c r="E797" s="15"/>
      <c r="F797" s="16"/>
      <c r="G797" s="16"/>
      <c r="H797" s="16"/>
      <c r="I797" s="15"/>
      <c r="J797" s="15"/>
      <c r="K7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7" s="17" t="str">
        <f>IF(Tasks[[#This Row],[Task]]="","",IFERROR(VLOOKUP(IF(Tasks[[#This Row],[Effort]]="","M",Tasks[[#This Row],[Effort]]),EffortTable,2,FALSE),0))</f>
        <v/>
      </c>
      <c r="N797" t="str">
        <f>IF(Tasks[[#This Row],[Task]]="","",IFERROR(MATCH(Tasks[[#This Row],[Status]],{"Late","Blocked","Due soon"},0),9)*100000+N(Tasks[[#This Row],[Due]]))</f>
        <v/>
      </c>
      <c r="O797" t="str" cm="1">
        <f t="array" aca="1" ref="O7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7" t="str" cm="1">
        <f t="array" ref="P7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7" t="str" cm="1">
        <f t="array" ref="Q7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7" t="str" cm="1">
        <f t="array" ref="R7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8" spans="1:18" x14ac:dyDescent="0.25">
      <c r="A798" s="14" t="str" cm="1">
        <f t="array" ref="A798">IF(Tasks[[#This Row],[Task]]="","","T-"&amp;TEXT(ROW()-ROW(Tasks[#Headers]),"000"))</f>
        <v/>
      </c>
      <c r="B798" s="15"/>
      <c r="C798" s="15"/>
      <c r="D798" s="15"/>
      <c r="E798" s="15"/>
      <c r="F798" s="16"/>
      <c r="G798" s="16"/>
      <c r="H798" s="16"/>
      <c r="I798" s="15"/>
      <c r="J798" s="15"/>
      <c r="K7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8" s="17" t="str">
        <f>IF(Tasks[[#This Row],[Task]]="","",IFERROR(VLOOKUP(IF(Tasks[[#This Row],[Effort]]="","M",Tasks[[#This Row],[Effort]]),EffortTable,2,FALSE),0))</f>
        <v/>
      </c>
      <c r="N798" t="str">
        <f>IF(Tasks[[#This Row],[Task]]="","",IFERROR(MATCH(Tasks[[#This Row],[Status]],{"Late","Blocked","Due soon"},0),9)*100000+N(Tasks[[#This Row],[Due]]))</f>
        <v/>
      </c>
      <c r="O798" t="str" cm="1">
        <f t="array" aca="1" ref="O7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8" t="str" cm="1">
        <f t="array" ref="P7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8" t="str" cm="1">
        <f t="array" ref="Q7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8" t="str" cm="1">
        <f t="array" ref="R7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799" spans="1:18" x14ac:dyDescent="0.25">
      <c r="A799" s="14" t="str" cm="1">
        <f t="array" ref="A799">IF(Tasks[[#This Row],[Task]]="","","T-"&amp;TEXT(ROW()-ROW(Tasks[#Headers]),"000"))</f>
        <v/>
      </c>
      <c r="B799" s="15"/>
      <c r="C799" s="15"/>
      <c r="D799" s="15"/>
      <c r="E799" s="15"/>
      <c r="F799" s="16"/>
      <c r="G799" s="16"/>
      <c r="H799" s="16"/>
      <c r="I799" s="15"/>
      <c r="J799" s="15"/>
      <c r="K7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7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799" s="17" t="str">
        <f>IF(Tasks[[#This Row],[Task]]="","",IFERROR(VLOOKUP(IF(Tasks[[#This Row],[Effort]]="","M",Tasks[[#This Row],[Effort]]),EffortTable,2,FALSE),0))</f>
        <v/>
      </c>
      <c r="N799" t="str">
        <f>IF(Tasks[[#This Row],[Task]]="","",IFERROR(MATCH(Tasks[[#This Row],[Status]],{"Late","Blocked","Due soon"},0),9)*100000+N(Tasks[[#This Row],[Due]]))</f>
        <v/>
      </c>
      <c r="O799" t="str" cm="1">
        <f t="array" aca="1" ref="O7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799" t="str" cm="1">
        <f t="array" ref="P7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799" t="str" cm="1">
        <f t="array" ref="Q7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799" t="str" cm="1">
        <f t="array" ref="R7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0" spans="1:18" x14ac:dyDescent="0.25">
      <c r="A800" s="14" t="str" cm="1">
        <f t="array" ref="A800">IF(Tasks[[#This Row],[Task]]="","","T-"&amp;TEXT(ROW()-ROW(Tasks[#Headers]),"000"))</f>
        <v/>
      </c>
      <c r="B800" s="15"/>
      <c r="C800" s="15"/>
      <c r="D800" s="15"/>
      <c r="E800" s="15"/>
      <c r="F800" s="16"/>
      <c r="G800" s="16"/>
      <c r="H800" s="16"/>
      <c r="I800" s="15"/>
      <c r="J800" s="15"/>
      <c r="K8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0" s="17" t="str">
        <f>IF(Tasks[[#This Row],[Task]]="","",IFERROR(VLOOKUP(IF(Tasks[[#This Row],[Effort]]="","M",Tasks[[#This Row],[Effort]]),EffortTable,2,FALSE),0))</f>
        <v/>
      </c>
      <c r="N800" t="str">
        <f>IF(Tasks[[#This Row],[Task]]="","",IFERROR(MATCH(Tasks[[#This Row],[Status]],{"Late","Blocked","Due soon"},0),9)*100000+N(Tasks[[#This Row],[Due]]))</f>
        <v/>
      </c>
      <c r="O800" t="str" cm="1">
        <f t="array" aca="1" ref="O8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0" t="str" cm="1">
        <f t="array" ref="P8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0" t="str" cm="1">
        <f t="array" ref="Q8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0" t="str" cm="1">
        <f t="array" ref="R8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1" spans="1:18" x14ac:dyDescent="0.25">
      <c r="A801" s="14" t="str" cm="1">
        <f t="array" ref="A801">IF(Tasks[[#This Row],[Task]]="","","T-"&amp;TEXT(ROW()-ROW(Tasks[#Headers]),"000"))</f>
        <v/>
      </c>
      <c r="B801" s="15"/>
      <c r="C801" s="15"/>
      <c r="D801" s="15"/>
      <c r="E801" s="15"/>
      <c r="F801" s="16"/>
      <c r="G801" s="16"/>
      <c r="H801" s="16"/>
      <c r="I801" s="15"/>
      <c r="J801" s="15"/>
      <c r="K8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1" s="17" t="str">
        <f>IF(Tasks[[#This Row],[Task]]="","",IFERROR(VLOOKUP(IF(Tasks[[#This Row],[Effort]]="","M",Tasks[[#This Row],[Effort]]),EffortTable,2,FALSE),0))</f>
        <v/>
      </c>
      <c r="N801" t="str">
        <f>IF(Tasks[[#This Row],[Task]]="","",IFERROR(MATCH(Tasks[[#This Row],[Status]],{"Late","Blocked","Due soon"},0),9)*100000+N(Tasks[[#This Row],[Due]]))</f>
        <v/>
      </c>
      <c r="O801" t="str" cm="1">
        <f t="array" aca="1" ref="O8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1" t="str" cm="1">
        <f t="array" ref="P8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1" t="str" cm="1">
        <f t="array" ref="Q8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1" t="str" cm="1">
        <f t="array" ref="R8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2" spans="1:18" x14ac:dyDescent="0.25">
      <c r="A802" s="14" t="str" cm="1">
        <f t="array" ref="A802">IF(Tasks[[#This Row],[Task]]="","","T-"&amp;TEXT(ROW()-ROW(Tasks[#Headers]),"000"))</f>
        <v/>
      </c>
      <c r="B802" s="15"/>
      <c r="C802" s="15"/>
      <c r="D802" s="15"/>
      <c r="E802" s="15"/>
      <c r="F802" s="16"/>
      <c r="G802" s="16"/>
      <c r="H802" s="16"/>
      <c r="I802" s="15"/>
      <c r="J802" s="15"/>
      <c r="K8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2" s="17" t="str">
        <f>IF(Tasks[[#This Row],[Task]]="","",IFERROR(VLOOKUP(IF(Tasks[[#This Row],[Effort]]="","M",Tasks[[#This Row],[Effort]]),EffortTable,2,FALSE),0))</f>
        <v/>
      </c>
      <c r="N802" t="str">
        <f>IF(Tasks[[#This Row],[Task]]="","",IFERROR(MATCH(Tasks[[#This Row],[Status]],{"Late","Blocked","Due soon"},0),9)*100000+N(Tasks[[#This Row],[Due]]))</f>
        <v/>
      </c>
      <c r="O802" t="str" cm="1">
        <f t="array" aca="1" ref="O8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2" t="str" cm="1">
        <f t="array" ref="P8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2" t="str" cm="1">
        <f t="array" ref="Q8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2" t="str" cm="1">
        <f t="array" ref="R8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3" spans="1:18" x14ac:dyDescent="0.25">
      <c r="A803" s="14" t="str" cm="1">
        <f t="array" ref="A803">IF(Tasks[[#This Row],[Task]]="","","T-"&amp;TEXT(ROW()-ROW(Tasks[#Headers]),"000"))</f>
        <v/>
      </c>
      <c r="B803" s="15"/>
      <c r="C803" s="15"/>
      <c r="D803" s="15"/>
      <c r="E803" s="15"/>
      <c r="F803" s="16"/>
      <c r="G803" s="16"/>
      <c r="H803" s="16"/>
      <c r="I803" s="15"/>
      <c r="J803" s="15"/>
      <c r="K8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3" s="17" t="str">
        <f>IF(Tasks[[#This Row],[Task]]="","",IFERROR(VLOOKUP(IF(Tasks[[#This Row],[Effort]]="","M",Tasks[[#This Row],[Effort]]),EffortTable,2,FALSE),0))</f>
        <v/>
      </c>
      <c r="N803" t="str">
        <f>IF(Tasks[[#This Row],[Task]]="","",IFERROR(MATCH(Tasks[[#This Row],[Status]],{"Late","Blocked","Due soon"},0),9)*100000+N(Tasks[[#This Row],[Due]]))</f>
        <v/>
      </c>
      <c r="O803" t="str" cm="1">
        <f t="array" aca="1" ref="O8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3" t="str" cm="1">
        <f t="array" ref="P8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3" t="str" cm="1">
        <f t="array" ref="Q8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3" t="str" cm="1">
        <f t="array" ref="R8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4" spans="1:18" x14ac:dyDescent="0.25">
      <c r="A804" s="14" t="str" cm="1">
        <f t="array" ref="A804">IF(Tasks[[#This Row],[Task]]="","","T-"&amp;TEXT(ROW()-ROW(Tasks[#Headers]),"000"))</f>
        <v/>
      </c>
      <c r="B804" s="15"/>
      <c r="C804" s="15"/>
      <c r="D804" s="15"/>
      <c r="E804" s="15"/>
      <c r="F804" s="16"/>
      <c r="G804" s="16"/>
      <c r="H804" s="16"/>
      <c r="I804" s="15"/>
      <c r="J804" s="15"/>
      <c r="K8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4" s="17" t="str">
        <f>IF(Tasks[[#This Row],[Task]]="","",IFERROR(VLOOKUP(IF(Tasks[[#This Row],[Effort]]="","M",Tasks[[#This Row],[Effort]]),EffortTable,2,FALSE),0))</f>
        <v/>
      </c>
      <c r="N804" t="str">
        <f>IF(Tasks[[#This Row],[Task]]="","",IFERROR(MATCH(Tasks[[#This Row],[Status]],{"Late","Blocked","Due soon"},0),9)*100000+N(Tasks[[#This Row],[Due]]))</f>
        <v/>
      </c>
      <c r="O804" t="str" cm="1">
        <f t="array" aca="1" ref="O8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4" t="str" cm="1">
        <f t="array" ref="P8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4" t="str" cm="1">
        <f t="array" ref="Q8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4" t="str" cm="1">
        <f t="array" ref="R8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5" spans="1:18" x14ac:dyDescent="0.25">
      <c r="A805" s="14" t="str" cm="1">
        <f t="array" ref="A805">IF(Tasks[[#This Row],[Task]]="","","T-"&amp;TEXT(ROW()-ROW(Tasks[#Headers]),"000"))</f>
        <v/>
      </c>
      <c r="B805" s="15"/>
      <c r="C805" s="15"/>
      <c r="D805" s="15"/>
      <c r="E805" s="15"/>
      <c r="F805" s="16"/>
      <c r="G805" s="16"/>
      <c r="H805" s="16"/>
      <c r="I805" s="15"/>
      <c r="J805" s="15"/>
      <c r="K8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5" s="17" t="str">
        <f>IF(Tasks[[#This Row],[Task]]="","",IFERROR(VLOOKUP(IF(Tasks[[#This Row],[Effort]]="","M",Tasks[[#This Row],[Effort]]),EffortTable,2,FALSE),0))</f>
        <v/>
      </c>
      <c r="N805" t="str">
        <f>IF(Tasks[[#This Row],[Task]]="","",IFERROR(MATCH(Tasks[[#This Row],[Status]],{"Late","Blocked","Due soon"},0),9)*100000+N(Tasks[[#This Row],[Due]]))</f>
        <v/>
      </c>
      <c r="O805" t="str" cm="1">
        <f t="array" aca="1" ref="O8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5" t="str" cm="1">
        <f t="array" ref="P8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5" t="str" cm="1">
        <f t="array" ref="Q8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5" t="str" cm="1">
        <f t="array" ref="R8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6" spans="1:18" x14ac:dyDescent="0.25">
      <c r="A806" s="14" t="str" cm="1">
        <f t="array" ref="A806">IF(Tasks[[#This Row],[Task]]="","","T-"&amp;TEXT(ROW()-ROW(Tasks[#Headers]),"000"))</f>
        <v/>
      </c>
      <c r="B806" s="15"/>
      <c r="C806" s="15"/>
      <c r="D806" s="15"/>
      <c r="E806" s="15"/>
      <c r="F806" s="16"/>
      <c r="G806" s="16"/>
      <c r="H806" s="16"/>
      <c r="I806" s="15"/>
      <c r="J806" s="15"/>
      <c r="K8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6" s="17" t="str">
        <f>IF(Tasks[[#This Row],[Task]]="","",IFERROR(VLOOKUP(IF(Tasks[[#This Row],[Effort]]="","M",Tasks[[#This Row],[Effort]]),EffortTable,2,FALSE),0))</f>
        <v/>
      </c>
      <c r="N806" t="str">
        <f>IF(Tasks[[#This Row],[Task]]="","",IFERROR(MATCH(Tasks[[#This Row],[Status]],{"Late","Blocked","Due soon"},0),9)*100000+N(Tasks[[#This Row],[Due]]))</f>
        <v/>
      </c>
      <c r="O806" t="str" cm="1">
        <f t="array" aca="1" ref="O8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6" t="str" cm="1">
        <f t="array" ref="P8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6" t="str" cm="1">
        <f t="array" ref="Q8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6" t="str" cm="1">
        <f t="array" ref="R8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7" spans="1:18" x14ac:dyDescent="0.25">
      <c r="A807" s="14" t="str" cm="1">
        <f t="array" ref="A807">IF(Tasks[[#This Row],[Task]]="","","T-"&amp;TEXT(ROW()-ROW(Tasks[#Headers]),"000"))</f>
        <v/>
      </c>
      <c r="B807" s="15"/>
      <c r="C807" s="15"/>
      <c r="D807" s="15"/>
      <c r="E807" s="15"/>
      <c r="F807" s="16"/>
      <c r="G807" s="16"/>
      <c r="H807" s="16"/>
      <c r="I807" s="15"/>
      <c r="J807" s="15"/>
      <c r="K8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7" s="17" t="str">
        <f>IF(Tasks[[#This Row],[Task]]="","",IFERROR(VLOOKUP(IF(Tasks[[#This Row],[Effort]]="","M",Tasks[[#This Row],[Effort]]),EffortTable,2,FALSE),0))</f>
        <v/>
      </c>
      <c r="N807" t="str">
        <f>IF(Tasks[[#This Row],[Task]]="","",IFERROR(MATCH(Tasks[[#This Row],[Status]],{"Late","Blocked","Due soon"},0),9)*100000+N(Tasks[[#This Row],[Due]]))</f>
        <v/>
      </c>
      <c r="O807" t="str" cm="1">
        <f t="array" aca="1" ref="O8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7" t="str" cm="1">
        <f t="array" ref="P8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7" t="str" cm="1">
        <f t="array" ref="Q8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7" t="str" cm="1">
        <f t="array" ref="R8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8" spans="1:18" x14ac:dyDescent="0.25">
      <c r="A808" s="14" t="str" cm="1">
        <f t="array" ref="A808">IF(Tasks[[#This Row],[Task]]="","","T-"&amp;TEXT(ROW()-ROW(Tasks[#Headers]),"000"))</f>
        <v/>
      </c>
      <c r="B808" s="15"/>
      <c r="C808" s="15"/>
      <c r="D808" s="15"/>
      <c r="E808" s="15"/>
      <c r="F808" s="16"/>
      <c r="G808" s="16"/>
      <c r="H808" s="16"/>
      <c r="I808" s="15"/>
      <c r="J808" s="15"/>
      <c r="K8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8" s="17" t="str">
        <f>IF(Tasks[[#This Row],[Task]]="","",IFERROR(VLOOKUP(IF(Tasks[[#This Row],[Effort]]="","M",Tasks[[#This Row],[Effort]]),EffortTable,2,FALSE),0))</f>
        <v/>
      </c>
      <c r="N808" t="str">
        <f>IF(Tasks[[#This Row],[Task]]="","",IFERROR(MATCH(Tasks[[#This Row],[Status]],{"Late","Blocked","Due soon"},0),9)*100000+N(Tasks[[#This Row],[Due]]))</f>
        <v/>
      </c>
      <c r="O808" t="str" cm="1">
        <f t="array" aca="1" ref="O8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8" t="str" cm="1">
        <f t="array" ref="P8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8" t="str" cm="1">
        <f t="array" ref="Q8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8" t="str" cm="1">
        <f t="array" ref="R8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09" spans="1:18" x14ac:dyDescent="0.25">
      <c r="A809" s="14" t="str" cm="1">
        <f t="array" ref="A809">IF(Tasks[[#This Row],[Task]]="","","T-"&amp;TEXT(ROW()-ROW(Tasks[#Headers]),"000"))</f>
        <v/>
      </c>
      <c r="B809" s="15"/>
      <c r="C809" s="15"/>
      <c r="D809" s="15"/>
      <c r="E809" s="15"/>
      <c r="F809" s="16"/>
      <c r="G809" s="16"/>
      <c r="H809" s="16"/>
      <c r="I809" s="15"/>
      <c r="J809" s="15"/>
      <c r="K8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09" s="17" t="str">
        <f>IF(Tasks[[#This Row],[Task]]="","",IFERROR(VLOOKUP(IF(Tasks[[#This Row],[Effort]]="","M",Tasks[[#This Row],[Effort]]),EffortTable,2,FALSE),0))</f>
        <v/>
      </c>
      <c r="N809" t="str">
        <f>IF(Tasks[[#This Row],[Task]]="","",IFERROR(MATCH(Tasks[[#This Row],[Status]],{"Late","Blocked","Due soon"},0),9)*100000+N(Tasks[[#This Row],[Due]]))</f>
        <v/>
      </c>
      <c r="O809" t="str" cm="1">
        <f t="array" aca="1" ref="O8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09" t="str" cm="1">
        <f t="array" ref="P8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09" t="str" cm="1">
        <f t="array" ref="Q8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09" t="str" cm="1">
        <f t="array" ref="R8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0" spans="1:18" x14ac:dyDescent="0.25">
      <c r="A810" s="14" t="str" cm="1">
        <f t="array" ref="A810">IF(Tasks[[#This Row],[Task]]="","","T-"&amp;TEXT(ROW()-ROW(Tasks[#Headers]),"000"))</f>
        <v/>
      </c>
      <c r="B810" s="15"/>
      <c r="C810" s="15"/>
      <c r="D810" s="15"/>
      <c r="E810" s="15"/>
      <c r="F810" s="16"/>
      <c r="G810" s="16"/>
      <c r="H810" s="16"/>
      <c r="I810" s="15"/>
      <c r="J810" s="15"/>
      <c r="K8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0" s="17" t="str">
        <f>IF(Tasks[[#This Row],[Task]]="","",IFERROR(VLOOKUP(IF(Tasks[[#This Row],[Effort]]="","M",Tasks[[#This Row],[Effort]]),EffortTable,2,FALSE),0))</f>
        <v/>
      </c>
      <c r="N810" t="str">
        <f>IF(Tasks[[#This Row],[Task]]="","",IFERROR(MATCH(Tasks[[#This Row],[Status]],{"Late","Blocked","Due soon"},0),9)*100000+N(Tasks[[#This Row],[Due]]))</f>
        <v/>
      </c>
      <c r="O810" t="str" cm="1">
        <f t="array" aca="1" ref="O8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0" t="str" cm="1">
        <f t="array" ref="P8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0" t="str" cm="1">
        <f t="array" ref="Q8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0" t="str" cm="1">
        <f t="array" ref="R8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1" spans="1:18" x14ac:dyDescent="0.25">
      <c r="A811" s="14" t="str" cm="1">
        <f t="array" ref="A811">IF(Tasks[[#This Row],[Task]]="","","T-"&amp;TEXT(ROW()-ROW(Tasks[#Headers]),"000"))</f>
        <v/>
      </c>
      <c r="B811" s="15"/>
      <c r="C811" s="15"/>
      <c r="D811" s="15"/>
      <c r="E811" s="15"/>
      <c r="F811" s="16"/>
      <c r="G811" s="16"/>
      <c r="H811" s="16"/>
      <c r="I811" s="15"/>
      <c r="J811" s="15"/>
      <c r="K8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1" s="17" t="str">
        <f>IF(Tasks[[#This Row],[Task]]="","",IFERROR(VLOOKUP(IF(Tasks[[#This Row],[Effort]]="","M",Tasks[[#This Row],[Effort]]),EffortTable,2,FALSE),0))</f>
        <v/>
      </c>
      <c r="N811" t="str">
        <f>IF(Tasks[[#This Row],[Task]]="","",IFERROR(MATCH(Tasks[[#This Row],[Status]],{"Late","Blocked","Due soon"},0),9)*100000+N(Tasks[[#This Row],[Due]]))</f>
        <v/>
      </c>
      <c r="O811" t="str" cm="1">
        <f t="array" aca="1" ref="O8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1" t="str" cm="1">
        <f t="array" ref="P8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1" t="str" cm="1">
        <f t="array" ref="Q8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1" t="str" cm="1">
        <f t="array" ref="R8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2" spans="1:18" x14ac:dyDescent="0.25">
      <c r="A812" s="14" t="str" cm="1">
        <f t="array" ref="A812">IF(Tasks[[#This Row],[Task]]="","","T-"&amp;TEXT(ROW()-ROW(Tasks[#Headers]),"000"))</f>
        <v/>
      </c>
      <c r="B812" s="15"/>
      <c r="C812" s="15"/>
      <c r="D812" s="15"/>
      <c r="E812" s="15"/>
      <c r="F812" s="16"/>
      <c r="G812" s="16"/>
      <c r="H812" s="16"/>
      <c r="I812" s="15"/>
      <c r="J812" s="15"/>
      <c r="K8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2" s="17" t="str">
        <f>IF(Tasks[[#This Row],[Task]]="","",IFERROR(VLOOKUP(IF(Tasks[[#This Row],[Effort]]="","M",Tasks[[#This Row],[Effort]]),EffortTable,2,FALSE),0))</f>
        <v/>
      </c>
      <c r="N812" t="str">
        <f>IF(Tasks[[#This Row],[Task]]="","",IFERROR(MATCH(Tasks[[#This Row],[Status]],{"Late","Blocked","Due soon"},0),9)*100000+N(Tasks[[#This Row],[Due]]))</f>
        <v/>
      </c>
      <c r="O812" t="str" cm="1">
        <f t="array" aca="1" ref="O8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2" t="str" cm="1">
        <f t="array" ref="P8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2" t="str" cm="1">
        <f t="array" ref="Q8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2" t="str" cm="1">
        <f t="array" ref="R8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3" spans="1:18" x14ac:dyDescent="0.25">
      <c r="A813" s="14" t="str" cm="1">
        <f t="array" ref="A813">IF(Tasks[[#This Row],[Task]]="","","T-"&amp;TEXT(ROW()-ROW(Tasks[#Headers]),"000"))</f>
        <v/>
      </c>
      <c r="B813" s="15"/>
      <c r="C813" s="15"/>
      <c r="D813" s="15"/>
      <c r="E813" s="15"/>
      <c r="F813" s="16"/>
      <c r="G813" s="16"/>
      <c r="H813" s="16"/>
      <c r="I813" s="15"/>
      <c r="J813" s="15"/>
      <c r="K8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3" s="17" t="str">
        <f>IF(Tasks[[#This Row],[Task]]="","",IFERROR(VLOOKUP(IF(Tasks[[#This Row],[Effort]]="","M",Tasks[[#This Row],[Effort]]),EffortTable,2,FALSE),0))</f>
        <v/>
      </c>
      <c r="N813" t="str">
        <f>IF(Tasks[[#This Row],[Task]]="","",IFERROR(MATCH(Tasks[[#This Row],[Status]],{"Late","Blocked","Due soon"},0),9)*100000+N(Tasks[[#This Row],[Due]]))</f>
        <v/>
      </c>
      <c r="O813" t="str" cm="1">
        <f t="array" aca="1" ref="O8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3" t="str" cm="1">
        <f t="array" ref="P8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3" t="str" cm="1">
        <f t="array" ref="Q8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3" t="str" cm="1">
        <f t="array" ref="R8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4" spans="1:18" x14ac:dyDescent="0.25">
      <c r="A814" s="14" t="str" cm="1">
        <f t="array" ref="A814">IF(Tasks[[#This Row],[Task]]="","","T-"&amp;TEXT(ROW()-ROW(Tasks[#Headers]),"000"))</f>
        <v/>
      </c>
      <c r="B814" s="15"/>
      <c r="C814" s="15"/>
      <c r="D814" s="15"/>
      <c r="E814" s="15"/>
      <c r="F814" s="16"/>
      <c r="G814" s="16"/>
      <c r="H814" s="16"/>
      <c r="I814" s="15"/>
      <c r="J814" s="15"/>
      <c r="K8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4" s="17" t="str">
        <f>IF(Tasks[[#This Row],[Task]]="","",IFERROR(VLOOKUP(IF(Tasks[[#This Row],[Effort]]="","M",Tasks[[#This Row],[Effort]]),EffortTable,2,FALSE),0))</f>
        <v/>
      </c>
      <c r="N814" t="str">
        <f>IF(Tasks[[#This Row],[Task]]="","",IFERROR(MATCH(Tasks[[#This Row],[Status]],{"Late","Blocked","Due soon"},0),9)*100000+N(Tasks[[#This Row],[Due]]))</f>
        <v/>
      </c>
      <c r="O814" t="str" cm="1">
        <f t="array" aca="1" ref="O8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4" t="str" cm="1">
        <f t="array" ref="P8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4" t="str" cm="1">
        <f t="array" ref="Q8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4" t="str" cm="1">
        <f t="array" ref="R8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5" spans="1:18" x14ac:dyDescent="0.25">
      <c r="A815" s="14" t="str" cm="1">
        <f t="array" ref="A815">IF(Tasks[[#This Row],[Task]]="","","T-"&amp;TEXT(ROW()-ROW(Tasks[#Headers]),"000"))</f>
        <v/>
      </c>
      <c r="B815" s="15"/>
      <c r="C815" s="15"/>
      <c r="D815" s="15"/>
      <c r="E815" s="15"/>
      <c r="F815" s="16"/>
      <c r="G815" s="16"/>
      <c r="H815" s="16"/>
      <c r="I815" s="15"/>
      <c r="J815" s="15"/>
      <c r="K8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5" s="17" t="str">
        <f>IF(Tasks[[#This Row],[Task]]="","",IFERROR(VLOOKUP(IF(Tasks[[#This Row],[Effort]]="","M",Tasks[[#This Row],[Effort]]),EffortTable,2,FALSE),0))</f>
        <v/>
      </c>
      <c r="N815" t="str">
        <f>IF(Tasks[[#This Row],[Task]]="","",IFERROR(MATCH(Tasks[[#This Row],[Status]],{"Late","Blocked","Due soon"},0),9)*100000+N(Tasks[[#This Row],[Due]]))</f>
        <v/>
      </c>
      <c r="O815" t="str" cm="1">
        <f t="array" aca="1" ref="O8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5" t="str" cm="1">
        <f t="array" ref="P8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5" t="str" cm="1">
        <f t="array" ref="Q8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5" t="str" cm="1">
        <f t="array" ref="R8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6" spans="1:18" x14ac:dyDescent="0.25">
      <c r="A816" s="14" t="str" cm="1">
        <f t="array" ref="A816">IF(Tasks[[#This Row],[Task]]="","","T-"&amp;TEXT(ROW()-ROW(Tasks[#Headers]),"000"))</f>
        <v/>
      </c>
      <c r="B816" s="15"/>
      <c r="C816" s="15"/>
      <c r="D816" s="15"/>
      <c r="E816" s="15"/>
      <c r="F816" s="16"/>
      <c r="G816" s="16"/>
      <c r="H816" s="16"/>
      <c r="I816" s="15"/>
      <c r="J816" s="15"/>
      <c r="K8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6" s="17" t="str">
        <f>IF(Tasks[[#This Row],[Task]]="","",IFERROR(VLOOKUP(IF(Tasks[[#This Row],[Effort]]="","M",Tasks[[#This Row],[Effort]]),EffortTable,2,FALSE),0))</f>
        <v/>
      </c>
      <c r="N816" t="str">
        <f>IF(Tasks[[#This Row],[Task]]="","",IFERROR(MATCH(Tasks[[#This Row],[Status]],{"Late","Blocked","Due soon"},0),9)*100000+N(Tasks[[#This Row],[Due]]))</f>
        <v/>
      </c>
      <c r="O816" t="str" cm="1">
        <f t="array" aca="1" ref="O8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6" t="str" cm="1">
        <f t="array" ref="P8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6" t="str" cm="1">
        <f t="array" ref="Q8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6" t="str" cm="1">
        <f t="array" ref="R8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7" spans="1:18" x14ac:dyDescent="0.25">
      <c r="A817" s="14" t="str" cm="1">
        <f t="array" ref="A817">IF(Tasks[[#This Row],[Task]]="","","T-"&amp;TEXT(ROW()-ROW(Tasks[#Headers]),"000"))</f>
        <v/>
      </c>
      <c r="B817" s="15"/>
      <c r="C817" s="15"/>
      <c r="D817" s="15"/>
      <c r="E817" s="15"/>
      <c r="F817" s="16"/>
      <c r="G817" s="16"/>
      <c r="H817" s="16"/>
      <c r="I817" s="15"/>
      <c r="J817" s="15"/>
      <c r="K8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7" s="17" t="str">
        <f>IF(Tasks[[#This Row],[Task]]="","",IFERROR(VLOOKUP(IF(Tasks[[#This Row],[Effort]]="","M",Tasks[[#This Row],[Effort]]),EffortTable,2,FALSE),0))</f>
        <v/>
      </c>
      <c r="N817" t="str">
        <f>IF(Tasks[[#This Row],[Task]]="","",IFERROR(MATCH(Tasks[[#This Row],[Status]],{"Late","Blocked","Due soon"},0),9)*100000+N(Tasks[[#This Row],[Due]]))</f>
        <v/>
      </c>
      <c r="O817" t="str" cm="1">
        <f t="array" aca="1" ref="O8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7" t="str" cm="1">
        <f t="array" ref="P8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7" t="str" cm="1">
        <f t="array" ref="Q8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7" t="str" cm="1">
        <f t="array" ref="R8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8" spans="1:18" x14ac:dyDescent="0.25">
      <c r="A818" s="14" t="str" cm="1">
        <f t="array" ref="A818">IF(Tasks[[#This Row],[Task]]="","","T-"&amp;TEXT(ROW()-ROW(Tasks[#Headers]),"000"))</f>
        <v/>
      </c>
      <c r="B818" s="15"/>
      <c r="C818" s="15"/>
      <c r="D818" s="15"/>
      <c r="E818" s="15"/>
      <c r="F818" s="16"/>
      <c r="G818" s="16"/>
      <c r="H818" s="16"/>
      <c r="I818" s="15"/>
      <c r="J818" s="15"/>
      <c r="K8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8" s="17" t="str">
        <f>IF(Tasks[[#This Row],[Task]]="","",IFERROR(VLOOKUP(IF(Tasks[[#This Row],[Effort]]="","M",Tasks[[#This Row],[Effort]]),EffortTable,2,FALSE),0))</f>
        <v/>
      </c>
      <c r="N818" t="str">
        <f>IF(Tasks[[#This Row],[Task]]="","",IFERROR(MATCH(Tasks[[#This Row],[Status]],{"Late","Blocked","Due soon"},0),9)*100000+N(Tasks[[#This Row],[Due]]))</f>
        <v/>
      </c>
      <c r="O818" t="str" cm="1">
        <f t="array" aca="1" ref="O8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8" t="str" cm="1">
        <f t="array" ref="P8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8" t="str" cm="1">
        <f t="array" ref="Q8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8" t="str" cm="1">
        <f t="array" ref="R8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19" spans="1:18" x14ac:dyDescent="0.25">
      <c r="A819" s="14" t="str" cm="1">
        <f t="array" ref="A819">IF(Tasks[[#This Row],[Task]]="","","T-"&amp;TEXT(ROW()-ROW(Tasks[#Headers]),"000"))</f>
        <v/>
      </c>
      <c r="B819" s="15"/>
      <c r="C819" s="15"/>
      <c r="D819" s="15"/>
      <c r="E819" s="15"/>
      <c r="F819" s="16"/>
      <c r="G819" s="16"/>
      <c r="H819" s="16"/>
      <c r="I819" s="15"/>
      <c r="J819" s="15"/>
      <c r="K8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19" s="17" t="str">
        <f>IF(Tasks[[#This Row],[Task]]="","",IFERROR(VLOOKUP(IF(Tasks[[#This Row],[Effort]]="","M",Tasks[[#This Row],[Effort]]),EffortTable,2,FALSE),0))</f>
        <v/>
      </c>
      <c r="N819" t="str">
        <f>IF(Tasks[[#This Row],[Task]]="","",IFERROR(MATCH(Tasks[[#This Row],[Status]],{"Late","Blocked","Due soon"},0),9)*100000+N(Tasks[[#This Row],[Due]]))</f>
        <v/>
      </c>
      <c r="O819" t="str" cm="1">
        <f t="array" aca="1" ref="O8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19" t="str" cm="1">
        <f t="array" ref="P8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19" t="str" cm="1">
        <f t="array" ref="Q8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19" t="str" cm="1">
        <f t="array" ref="R8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0" spans="1:18" x14ac:dyDescent="0.25">
      <c r="A820" s="14" t="str" cm="1">
        <f t="array" ref="A820">IF(Tasks[[#This Row],[Task]]="","","T-"&amp;TEXT(ROW()-ROW(Tasks[#Headers]),"000"))</f>
        <v/>
      </c>
      <c r="B820" s="15"/>
      <c r="C820" s="15"/>
      <c r="D820" s="15"/>
      <c r="E820" s="15"/>
      <c r="F820" s="16"/>
      <c r="G820" s="16"/>
      <c r="H820" s="16"/>
      <c r="I820" s="15"/>
      <c r="J820" s="15"/>
      <c r="K8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0" s="17" t="str">
        <f>IF(Tasks[[#This Row],[Task]]="","",IFERROR(VLOOKUP(IF(Tasks[[#This Row],[Effort]]="","M",Tasks[[#This Row],[Effort]]),EffortTable,2,FALSE),0))</f>
        <v/>
      </c>
      <c r="N820" t="str">
        <f>IF(Tasks[[#This Row],[Task]]="","",IFERROR(MATCH(Tasks[[#This Row],[Status]],{"Late","Blocked","Due soon"},0),9)*100000+N(Tasks[[#This Row],[Due]]))</f>
        <v/>
      </c>
      <c r="O820" t="str" cm="1">
        <f t="array" aca="1" ref="O8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0" t="str" cm="1">
        <f t="array" ref="P8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0" t="str" cm="1">
        <f t="array" ref="Q8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0" t="str" cm="1">
        <f t="array" ref="R8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1" spans="1:18" x14ac:dyDescent="0.25">
      <c r="A821" s="14" t="str" cm="1">
        <f t="array" ref="A821">IF(Tasks[[#This Row],[Task]]="","","T-"&amp;TEXT(ROW()-ROW(Tasks[#Headers]),"000"))</f>
        <v/>
      </c>
      <c r="B821" s="15"/>
      <c r="C821" s="15"/>
      <c r="D821" s="15"/>
      <c r="E821" s="15"/>
      <c r="F821" s="16"/>
      <c r="G821" s="16"/>
      <c r="H821" s="16"/>
      <c r="I821" s="15"/>
      <c r="J821" s="15"/>
      <c r="K8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1" s="17" t="str">
        <f>IF(Tasks[[#This Row],[Task]]="","",IFERROR(VLOOKUP(IF(Tasks[[#This Row],[Effort]]="","M",Tasks[[#This Row],[Effort]]),EffortTable,2,FALSE),0))</f>
        <v/>
      </c>
      <c r="N821" t="str">
        <f>IF(Tasks[[#This Row],[Task]]="","",IFERROR(MATCH(Tasks[[#This Row],[Status]],{"Late","Blocked","Due soon"},0),9)*100000+N(Tasks[[#This Row],[Due]]))</f>
        <v/>
      </c>
      <c r="O821" t="str" cm="1">
        <f t="array" aca="1" ref="O8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1" t="str" cm="1">
        <f t="array" ref="P8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1" t="str" cm="1">
        <f t="array" ref="Q8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1" t="str" cm="1">
        <f t="array" ref="R8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2" spans="1:18" x14ac:dyDescent="0.25">
      <c r="A822" s="14" t="str" cm="1">
        <f t="array" ref="A822">IF(Tasks[[#This Row],[Task]]="","","T-"&amp;TEXT(ROW()-ROW(Tasks[#Headers]),"000"))</f>
        <v/>
      </c>
      <c r="B822" s="15"/>
      <c r="C822" s="15"/>
      <c r="D822" s="15"/>
      <c r="E822" s="15"/>
      <c r="F822" s="16"/>
      <c r="G822" s="16"/>
      <c r="H822" s="16"/>
      <c r="I822" s="15"/>
      <c r="J822" s="15"/>
      <c r="K8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2" s="17" t="str">
        <f>IF(Tasks[[#This Row],[Task]]="","",IFERROR(VLOOKUP(IF(Tasks[[#This Row],[Effort]]="","M",Tasks[[#This Row],[Effort]]),EffortTable,2,FALSE),0))</f>
        <v/>
      </c>
      <c r="N822" t="str">
        <f>IF(Tasks[[#This Row],[Task]]="","",IFERROR(MATCH(Tasks[[#This Row],[Status]],{"Late","Blocked","Due soon"},0),9)*100000+N(Tasks[[#This Row],[Due]]))</f>
        <v/>
      </c>
      <c r="O822" t="str" cm="1">
        <f t="array" aca="1" ref="O8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2" t="str" cm="1">
        <f t="array" ref="P8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2" t="str" cm="1">
        <f t="array" ref="Q8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2" t="str" cm="1">
        <f t="array" ref="R8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3" spans="1:18" x14ac:dyDescent="0.25">
      <c r="A823" s="14" t="str" cm="1">
        <f t="array" ref="A823">IF(Tasks[[#This Row],[Task]]="","","T-"&amp;TEXT(ROW()-ROW(Tasks[#Headers]),"000"))</f>
        <v/>
      </c>
      <c r="B823" s="15"/>
      <c r="C823" s="15"/>
      <c r="D823" s="15"/>
      <c r="E823" s="15"/>
      <c r="F823" s="16"/>
      <c r="G823" s="16"/>
      <c r="H823" s="16"/>
      <c r="I823" s="15"/>
      <c r="J823" s="15"/>
      <c r="K8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3" s="17" t="str">
        <f>IF(Tasks[[#This Row],[Task]]="","",IFERROR(VLOOKUP(IF(Tasks[[#This Row],[Effort]]="","M",Tasks[[#This Row],[Effort]]),EffortTable,2,FALSE),0))</f>
        <v/>
      </c>
      <c r="N823" t="str">
        <f>IF(Tasks[[#This Row],[Task]]="","",IFERROR(MATCH(Tasks[[#This Row],[Status]],{"Late","Blocked","Due soon"},0),9)*100000+N(Tasks[[#This Row],[Due]]))</f>
        <v/>
      </c>
      <c r="O823" t="str" cm="1">
        <f t="array" aca="1" ref="O8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3" t="str" cm="1">
        <f t="array" ref="P8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3" t="str" cm="1">
        <f t="array" ref="Q8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3" t="str" cm="1">
        <f t="array" ref="R8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4" spans="1:18" x14ac:dyDescent="0.25">
      <c r="A824" s="14" t="str" cm="1">
        <f t="array" ref="A824">IF(Tasks[[#This Row],[Task]]="","","T-"&amp;TEXT(ROW()-ROW(Tasks[#Headers]),"000"))</f>
        <v/>
      </c>
      <c r="B824" s="15"/>
      <c r="C824" s="15"/>
      <c r="D824" s="15"/>
      <c r="E824" s="15"/>
      <c r="F824" s="16"/>
      <c r="G824" s="16"/>
      <c r="H824" s="16"/>
      <c r="I824" s="15"/>
      <c r="J824" s="15"/>
      <c r="K8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4" s="17" t="str">
        <f>IF(Tasks[[#This Row],[Task]]="","",IFERROR(VLOOKUP(IF(Tasks[[#This Row],[Effort]]="","M",Tasks[[#This Row],[Effort]]),EffortTable,2,FALSE),0))</f>
        <v/>
      </c>
      <c r="N824" t="str">
        <f>IF(Tasks[[#This Row],[Task]]="","",IFERROR(MATCH(Tasks[[#This Row],[Status]],{"Late","Blocked","Due soon"},0),9)*100000+N(Tasks[[#This Row],[Due]]))</f>
        <v/>
      </c>
      <c r="O824" t="str" cm="1">
        <f t="array" aca="1" ref="O8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4" t="str" cm="1">
        <f t="array" ref="P8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4" t="str" cm="1">
        <f t="array" ref="Q8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4" t="str" cm="1">
        <f t="array" ref="R8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5" spans="1:18" x14ac:dyDescent="0.25">
      <c r="A825" s="14" t="str" cm="1">
        <f t="array" ref="A825">IF(Tasks[[#This Row],[Task]]="","","T-"&amp;TEXT(ROW()-ROW(Tasks[#Headers]),"000"))</f>
        <v/>
      </c>
      <c r="B825" s="15"/>
      <c r="C825" s="15"/>
      <c r="D825" s="15"/>
      <c r="E825" s="15"/>
      <c r="F825" s="16"/>
      <c r="G825" s="16"/>
      <c r="H825" s="16"/>
      <c r="I825" s="15"/>
      <c r="J825" s="15"/>
      <c r="K8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5" s="17" t="str">
        <f>IF(Tasks[[#This Row],[Task]]="","",IFERROR(VLOOKUP(IF(Tasks[[#This Row],[Effort]]="","M",Tasks[[#This Row],[Effort]]),EffortTable,2,FALSE),0))</f>
        <v/>
      </c>
      <c r="N825" t="str">
        <f>IF(Tasks[[#This Row],[Task]]="","",IFERROR(MATCH(Tasks[[#This Row],[Status]],{"Late","Blocked","Due soon"},0),9)*100000+N(Tasks[[#This Row],[Due]]))</f>
        <v/>
      </c>
      <c r="O825" t="str" cm="1">
        <f t="array" aca="1" ref="O8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5" t="str" cm="1">
        <f t="array" ref="P8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5" t="str" cm="1">
        <f t="array" ref="Q8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5" t="str" cm="1">
        <f t="array" ref="R8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6" spans="1:18" x14ac:dyDescent="0.25">
      <c r="A826" s="14" t="str" cm="1">
        <f t="array" ref="A826">IF(Tasks[[#This Row],[Task]]="","","T-"&amp;TEXT(ROW()-ROW(Tasks[#Headers]),"000"))</f>
        <v/>
      </c>
      <c r="B826" s="15"/>
      <c r="C826" s="15"/>
      <c r="D826" s="15"/>
      <c r="E826" s="15"/>
      <c r="F826" s="16"/>
      <c r="G826" s="16"/>
      <c r="H826" s="16"/>
      <c r="I826" s="15"/>
      <c r="J826" s="15"/>
      <c r="K8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6" s="17" t="str">
        <f>IF(Tasks[[#This Row],[Task]]="","",IFERROR(VLOOKUP(IF(Tasks[[#This Row],[Effort]]="","M",Tasks[[#This Row],[Effort]]),EffortTable,2,FALSE),0))</f>
        <v/>
      </c>
      <c r="N826" t="str">
        <f>IF(Tasks[[#This Row],[Task]]="","",IFERROR(MATCH(Tasks[[#This Row],[Status]],{"Late","Blocked","Due soon"},0),9)*100000+N(Tasks[[#This Row],[Due]]))</f>
        <v/>
      </c>
      <c r="O826" t="str" cm="1">
        <f t="array" aca="1" ref="O8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6" t="str" cm="1">
        <f t="array" ref="P8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6" t="str" cm="1">
        <f t="array" ref="Q8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6" t="str" cm="1">
        <f t="array" ref="R8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7" spans="1:18" x14ac:dyDescent="0.25">
      <c r="A827" s="14" t="str" cm="1">
        <f t="array" ref="A827">IF(Tasks[[#This Row],[Task]]="","","T-"&amp;TEXT(ROW()-ROW(Tasks[#Headers]),"000"))</f>
        <v/>
      </c>
      <c r="B827" s="15"/>
      <c r="C827" s="15"/>
      <c r="D827" s="15"/>
      <c r="E827" s="15"/>
      <c r="F827" s="16"/>
      <c r="G827" s="16"/>
      <c r="H827" s="16"/>
      <c r="I827" s="15"/>
      <c r="J827" s="15"/>
      <c r="K8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7" s="17" t="str">
        <f>IF(Tasks[[#This Row],[Task]]="","",IFERROR(VLOOKUP(IF(Tasks[[#This Row],[Effort]]="","M",Tasks[[#This Row],[Effort]]),EffortTable,2,FALSE),0))</f>
        <v/>
      </c>
      <c r="N827" t="str">
        <f>IF(Tasks[[#This Row],[Task]]="","",IFERROR(MATCH(Tasks[[#This Row],[Status]],{"Late","Blocked","Due soon"},0),9)*100000+N(Tasks[[#This Row],[Due]]))</f>
        <v/>
      </c>
      <c r="O827" t="str" cm="1">
        <f t="array" aca="1" ref="O8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7" t="str" cm="1">
        <f t="array" ref="P8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7" t="str" cm="1">
        <f t="array" ref="Q8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7" t="str" cm="1">
        <f t="array" ref="R8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8" spans="1:18" x14ac:dyDescent="0.25">
      <c r="A828" s="14" t="str" cm="1">
        <f t="array" ref="A828">IF(Tasks[[#This Row],[Task]]="","","T-"&amp;TEXT(ROW()-ROW(Tasks[#Headers]),"000"))</f>
        <v/>
      </c>
      <c r="B828" s="15"/>
      <c r="C828" s="15"/>
      <c r="D828" s="15"/>
      <c r="E828" s="15"/>
      <c r="F828" s="16"/>
      <c r="G828" s="16"/>
      <c r="H828" s="16"/>
      <c r="I828" s="15"/>
      <c r="J828" s="15"/>
      <c r="K8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8" s="17" t="str">
        <f>IF(Tasks[[#This Row],[Task]]="","",IFERROR(VLOOKUP(IF(Tasks[[#This Row],[Effort]]="","M",Tasks[[#This Row],[Effort]]),EffortTable,2,FALSE),0))</f>
        <v/>
      </c>
      <c r="N828" t="str">
        <f>IF(Tasks[[#This Row],[Task]]="","",IFERROR(MATCH(Tasks[[#This Row],[Status]],{"Late","Blocked","Due soon"},0),9)*100000+N(Tasks[[#This Row],[Due]]))</f>
        <v/>
      </c>
      <c r="O828" t="str" cm="1">
        <f t="array" aca="1" ref="O8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8" t="str" cm="1">
        <f t="array" ref="P8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8" t="str" cm="1">
        <f t="array" ref="Q8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8" t="str" cm="1">
        <f t="array" ref="R8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29" spans="1:18" x14ac:dyDescent="0.25">
      <c r="A829" s="14" t="str" cm="1">
        <f t="array" ref="A829">IF(Tasks[[#This Row],[Task]]="","","T-"&amp;TEXT(ROW()-ROW(Tasks[#Headers]),"000"))</f>
        <v/>
      </c>
      <c r="B829" s="15"/>
      <c r="C829" s="15"/>
      <c r="D829" s="15"/>
      <c r="E829" s="15"/>
      <c r="F829" s="16"/>
      <c r="G829" s="16"/>
      <c r="H829" s="16"/>
      <c r="I829" s="15"/>
      <c r="J829" s="15"/>
      <c r="K8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29" s="17" t="str">
        <f>IF(Tasks[[#This Row],[Task]]="","",IFERROR(VLOOKUP(IF(Tasks[[#This Row],[Effort]]="","M",Tasks[[#This Row],[Effort]]),EffortTable,2,FALSE),0))</f>
        <v/>
      </c>
      <c r="N829" t="str">
        <f>IF(Tasks[[#This Row],[Task]]="","",IFERROR(MATCH(Tasks[[#This Row],[Status]],{"Late","Blocked","Due soon"},0),9)*100000+N(Tasks[[#This Row],[Due]]))</f>
        <v/>
      </c>
      <c r="O829" t="str" cm="1">
        <f t="array" aca="1" ref="O8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29" t="str" cm="1">
        <f t="array" ref="P8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29" t="str" cm="1">
        <f t="array" ref="Q8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29" t="str" cm="1">
        <f t="array" ref="R8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0" spans="1:18" x14ac:dyDescent="0.25">
      <c r="A830" s="14" t="str" cm="1">
        <f t="array" ref="A830">IF(Tasks[[#This Row],[Task]]="","","T-"&amp;TEXT(ROW()-ROW(Tasks[#Headers]),"000"))</f>
        <v/>
      </c>
      <c r="B830" s="15"/>
      <c r="C830" s="15"/>
      <c r="D830" s="15"/>
      <c r="E830" s="15"/>
      <c r="F830" s="16"/>
      <c r="G830" s="16"/>
      <c r="H830" s="16"/>
      <c r="I830" s="15"/>
      <c r="J830" s="15"/>
      <c r="K8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0" s="17" t="str">
        <f>IF(Tasks[[#This Row],[Task]]="","",IFERROR(VLOOKUP(IF(Tasks[[#This Row],[Effort]]="","M",Tasks[[#This Row],[Effort]]),EffortTable,2,FALSE),0))</f>
        <v/>
      </c>
      <c r="N830" t="str">
        <f>IF(Tasks[[#This Row],[Task]]="","",IFERROR(MATCH(Tasks[[#This Row],[Status]],{"Late","Blocked","Due soon"},0),9)*100000+N(Tasks[[#This Row],[Due]]))</f>
        <v/>
      </c>
      <c r="O830" t="str" cm="1">
        <f t="array" aca="1" ref="O8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0" t="str" cm="1">
        <f t="array" ref="P8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0" t="str" cm="1">
        <f t="array" ref="Q8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0" t="str" cm="1">
        <f t="array" ref="R8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1" spans="1:18" x14ac:dyDescent="0.25">
      <c r="A831" s="14" t="str" cm="1">
        <f t="array" ref="A831">IF(Tasks[[#This Row],[Task]]="","","T-"&amp;TEXT(ROW()-ROW(Tasks[#Headers]),"000"))</f>
        <v/>
      </c>
      <c r="B831" s="15"/>
      <c r="C831" s="15"/>
      <c r="D831" s="15"/>
      <c r="E831" s="15"/>
      <c r="F831" s="16"/>
      <c r="G831" s="16"/>
      <c r="H831" s="16"/>
      <c r="I831" s="15"/>
      <c r="J831" s="15"/>
      <c r="K8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1" s="17" t="str">
        <f>IF(Tasks[[#This Row],[Task]]="","",IFERROR(VLOOKUP(IF(Tasks[[#This Row],[Effort]]="","M",Tasks[[#This Row],[Effort]]),EffortTable,2,FALSE),0))</f>
        <v/>
      </c>
      <c r="N831" t="str">
        <f>IF(Tasks[[#This Row],[Task]]="","",IFERROR(MATCH(Tasks[[#This Row],[Status]],{"Late","Blocked","Due soon"},0),9)*100000+N(Tasks[[#This Row],[Due]]))</f>
        <v/>
      </c>
      <c r="O831" t="str" cm="1">
        <f t="array" aca="1" ref="O8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1" t="str" cm="1">
        <f t="array" ref="P8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1" t="str" cm="1">
        <f t="array" ref="Q8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1" t="str" cm="1">
        <f t="array" ref="R8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2" spans="1:18" x14ac:dyDescent="0.25">
      <c r="A832" s="14" t="str" cm="1">
        <f t="array" ref="A832">IF(Tasks[[#This Row],[Task]]="","","T-"&amp;TEXT(ROW()-ROW(Tasks[#Headers]),"000"))</f>
        <v/>
      </c>
      <c r="B832" s="15"/>
      <c r="C832" s="15"/>
      <c r="D832" s="15"/>
      <c r="E832" s="15"/>
      <c r="F832" s="16"/>
      <c r="G832" s="16"/>
      <c r="H832" s="16"/>
      <c r="I832" s="15"/>
      <c r="J832" s="15"/>
      <c r="K8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2" s="17" t="str">
        <f>IF(Tasks[[#This Row],[Task]]="","",IFERROR(VLOOKUP(IF(Tasks[[#This Row],[Effort]]="","M",Tasks[[#This Row],[Effort]]),EffortTable,2,FALSE),0))</f>
        <v/>
      </c>
      <c r="N832" t="str">
        <f>IF(Tasks[[#This Row],[Task]]="","",IFERROR(MATCH(Tasks[[#This Row],[Status]],{"Late","Blocked","Due soon"},0),9)*100000+N(Tasks[[#This Row],[Due]]))</f>
        <v/>
      </c>
      <c r="O832" t="str" cm="1">
        <f t="array" aca="1" ref="O8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2" t="str" cm="1">
        <f t="array" ref="P8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2" t="str" cm="1">
        <f t="array" ref="Q8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2" t="str" cm="1">
        <f t="array" ref="R8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3" spans="1:18" x14ac:dyDescent="0.25">
      <c r="A833" s="14" t="str" cm="1">
        <f t="array" ref="A833">IF(Tasks[[#This Row],[Task]]="","","T-"&amp;TEXT(ROW()-ROW(Tasks[#Headers]),"000"))</f>
        <v/>
      </c>
      <c r="B833" s="15"/>
      <c r="C833" s="15"/>
      <c r="D833" s="15"/>
      <c r="E833" s="15"/>
      <c r="F833" s="16"/>
      <c r="G833" s="16"/>
      <c r="H833" s="16"/>
      <c r="I833" s="15"/>
      <c r="J833" s="15"/>
      <c r="K8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3" s="17" t="str">
        <f>IF(Tasks[[#This Row],[Task]]="","",IFERROR(VLOOKUP(IF(Tasks[[#This Row],[Effort]]="","M",Tasks[[#This Row],[Effort]]),EffortTable,2,FALSE),0))</f>
        <v/>
      </c>
      <c r="N833" t="str">
        <f>IF(Tasks[[#This Row],[Task]]="","",IFERROR(MATCH(Tasks[[#This Row],[Status]],{"Late","Blocked","Due soon"},0),9)*100000+N(Tasks[[#This Row],[Due]]))</f>
        <v/>
      </c>
      <c r="O833" t="str" cm="1">
        <f t="array" aca="1" ref="O8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3" t="str" cm="1">
        <f t="array" ref="P8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3" t="str" cm="1">
        <f t="array" ref="Q8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3" t="str" cm="1">
        <f t="array" ref="R8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4" spans="1:18" x14ac:dyDescent="0.25">
      <c r="A834" s="14" t="str" cm="1">
        <f t="array" ref="A834">IF(Tasks[[#This Row],[Task]]="","","T-"&amp;TEXT(ROW()-ROW(Tasks[#Headers]),"000"))</f>
        <v/>
      </c>
      <c r="B834" s="15"/>
      <c r="C834" s="15"/>
      <c r="D834" s="15"/>
      <c r="E834" s="15"/>
      <c r="F834" s="16"/>
      <c r="G834" s="16"/>
      <c r="H834" s="16"/>
      <c r="I834" s="15"/>
      <c r="J834" s="15"/>
      <c r="K8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4" s="17" t="str">
        <f>IF(Tasks[[#This Row],[Task]]="","",IFERROR(VLOOKUP(IF(Tasks[[#This Row],[Effort]]="","M",Tasks[[#This Row],[Effort]]),EffortTable,2,FALSE),0))</f>
        <v/>
      </c>
      <c r="N834" t="str">
        <f>IF(Tasks[[#This Row],[Task]]="","",IFERROR(MATCH(Tasks[[#This Row],[Status]],{"Late","Blocked","Due soon"},0),9)*100000+N(Tasks[[#This Row],[Due]]))</f>
        <v/>
      </c>
      <c r="O834" t="str" cm="1">
        <f t="array" aca="1" ref="O8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4" t="str" cm="1">
        <f t="array" ref="P8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4" t="str" cm="1">
        <f t="array" ref="Q8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4" t="str" cm="1">
        <f t="array" ref="R8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5" spans="1:18" x14ac:dyDescent="0.25">
      <c r="A835" s="14" t="str" cm="1">
        <f t="array" ref="A835">IF(Tasks[[#This Row],[Task]]="","","T-"&amp;TEXT(ROW()-ROW(Tasks[#Headers]),"000"))</f>
        <v/>
      </c>
      <c r="B835" s="15"/>
      <c r="C835" s="15"/>
      <c r="D835" s="15"/>
      <c r="E835" s="15"/>
      <c r="F835" s="16"/>
      <c r="G835" s="16"/>
      <c r="H835" s="16"/>
      <c r="I835" s="15"/>
      <c r="J835" s="15"/>
      <c r="K8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5" s="17" t="str">
        <f>IF(Tasks[[#This Row],[Task]]="","",IFERROR(VLOOKUP(IF(Tasks[[#This Row],[Effort]]="","M",Tasks[[#This Row],[Effort]]),EffortTable,2,FALSE),0))</f>
        <v/>
      </c>
      <c r="N835" t="str">
        <f>IF(Tasks[[#This Row],[Task]]="","",IFERROR(MATCH(Tasks[[#This Row],[Status]],{"Late","Blocked","Due soon"},0),9)*100000+N(Tasks[[#This Row],[Due]]))</f>
        <v/>
      </c>
      <c r="O835" t="str" cm="1">
        <f t="array" aca="1" ref="O8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5" t="str" cm="1">
        <f t="array" ref="P8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5" t="str" cm="1">
        <f t="array" ref="Q8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5" t="str" cm="1">
        <f t="array" ref="R8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6" spans="1:18" x14ac:dyDescent="0.25">
      <c r="A836" s="14" t="str" cm="1">
        <f t="array" ref="A836">IF(Tasks[[#This Row],[Task]]="","","T-"&amp;TEXT(ROW()-ROW(Tasks[#Headers]),"000"))</f>
        <v/>
      </c>
      <c r="B836" s="15"/>
      <c r="C836" s="15"/>
      <c r="D836" s="15"/>
      <c r="E836" s="15"/>
      <c r="F836" s="16"/>
      <c r="G836" s="16"/>
      <c r="H836" s="16"/>
      <c r="I836" s="15"/>
      <c r="J836" s="15"/>
      <c r="K8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6" s="17" t="str">
        <f>IF(Tasks[[#This Row],[Task]]="","",IFERROR(VLOOKUP(IF(Tasks[[#This Row],[Effort]]="","M",Tasks[[#This Row],[Effort]]),EffortTable,2,FALSE),0))</f>
        <v/>
      </c>
      <c r="N836" t="str">
        <f>IF(Tasks[[#This Row],[Task]]="","",IFERROR(MATCH(Tasks[[#This Row],[Status]],{"Late","Blocked","Due soon"},0),9)*100000+N(Tasks[[#This Row],[Due]]))</f>
        <v/>
      </c>
      <c r="O836" t="str" cm="1">
        <f t="array" aca="1" ref="O8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6" t="str" cm="1">
        <f t="array" ref="P8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6" t="str" cm="1">
        <f t="array" ref="Q8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6" t="str" cm="1">
        <f t="array" ref="R8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7" spans="1:18" x14ac:dyDescent="0.25">
      <c r="A837" s="14" t="str" cm="1">
        <f t="array" ref="A837">IF(Tasks[[#This Row],[Task]]="","","T-"&amp;TEXT(ROW()-ROW(Tasks[#Headers]),"000"))</f>
        <v/>
      </c>
      <c r="B837" s="15"/>
      <c r="C837" s="15"/>
      <c r="D837" s="15"/>
      <c r="E837" s="15"/>
      <c r="F837" s="16"/>
      <c r="G837" s="16"/>
      <c r="H837" s="16"/>
      <c r="I837" s="15"/>
      <c r="J837" s="15"/>
      <c r="K8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7" s="17" t="str">
        <f>IF(Tasks[[#This Row],[Task]]="","",IFERROR(VLOOKUP(IF(Tasks[[#This Row],[Effort]]="","M",Tasks[[#This Row],[Effort]]),EffortTable,2,FALSE),0))</f>
        <v/>
      </c>
      <c r="N837" t="str">
        <f>IF(Tasks[[#This Row],[Task]]="","",IFERROR(MATCH(Tasks[[#This Row],[Status]],{"Late","Blocked","Due soon"},0),9)*100000+N(Tasks[[#This Row],[Due]]))</f>
        <v/>
      </c>
      <c r="O837" t="str" cm="1">
        <f t="array" aca="1" ref="O8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7" t="str" cm="1">
        <f t="array" ref="P8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7" t="str" cm="1">
        <f t="array" ref="Q8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7" t="str" cm="1">
        <f t="array" ref="R8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8" spans="1:18" x14ac:dyDescent="0.25">
      <c r="A838" s="14" t="str" cm="1">
        <f t="array" ref="A838">IF(Tasks[[#This Row],[Task]]="","","T-"&amp;TEXT(ROW()-ROW(Tasks[#Headers]),"000"))</f>
        <v/>
      </c>
      <c r="B838" s="15"/>
      <c r="C838" s="15"/>
      <c r="D838" s="15"/>
      <c r="E838" s="15"/>
      <c r="F838" s="16"/>
      <c r="G838" s="16"/>
      <c r="H838" s="16"/>
      <c r="I838" s="15"/>
      <c r="J838" s="15"/>
      <c r="K8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8" s="17" t="str">
        <f>IF(Tasks[[#This Row],[Task]]="","",IFERROR(VLOOKUP(IF(Tasks[[#This Row],[Effort]]="","M",Tasks[[#This Row],[Effort]]),EffortTable,2,FALSE),0))</f>
        <v/>
      </c>
      <c r="N838" t="str">
        <f>IF(Tasks[[#This Row],[Task]]="","",IFERROR(MATCH(Tasks[[#This Row],[Status]],{"Late","Blocked","Due soon"},0),9)*100000+N(Tasks[[#This Row],[Due]]))</f>
        <v/>
      </c>
      <c r="O838" t="str" cm="1">
        <f t="array" aca="1" ref="O8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8" t="str" cm="1">
        <f t="array" ref="P8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8" t="str" cm="1">
        <f t="array" ref="Q8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8" t="str" cm="1">
        <f t="array" ref="R8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39" spans="1:18" x14ac:dyDescent="0.25">
      <c r="A839" s="14" t="str" cm="1">
        <f t="array" ref="A839">IF(Tasks[[#This Row],[Task]]="","","T-"&amp;TEXT(ROW()-ROW(Tasks[#Headers]),"000"))</f>
        <v/>
      </c>
      <c r="B839" s="15"/>
      <c r="C839" s="15"/>
      <c r="D839" s="15"/>
      <c r="E839" s="15"/>
      <c r="F839" s="16"/>
      <c r="G839" s="16"/>
      <c r="H839" s="16"/>
      <c r="I839" s="15"/>
      <c r="J839" s="15"/>
      <c r="K8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39" s="17" t="str">
        <f>IF(Tasks[[#This Row],[Task]]="","",IFERROR(VLOOKUP(IF(Tasks[[#This Row],[Effort]]="","M",Tasks[[#This Row],[Effort]]),EffortTable,2,FALSE),0))</f>
        <v/>
      </c>
      <c r="N839" t="str">
        <f>IF(Tasks[[#This Row],[Task]]="","",IFERROR(MATCH(Tasks[[#This Row],[Status]],{"Late","Blocked","Due soon"},0),9)*100000+N(Tasks[[#This Row],[Due]]))</f>
        <v/>
      </c>
      <c r="O839" t="str" cm="1">
        <f t="array" aca="1" ref="O8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39" t="str" cm="1">
        <f t="array" ref="P8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39" t="str" cm="1">
        <f t="array" ref="Q8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39" t="str" cm="1">
        <f t="array" ref="R8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0" spans="1:18" x14ac:dyDescent="0.25">
      <c r="A840" s="14" t="str" cm="1">
        <f t="array" ref="A840">IF(Tasks[[#This Row],[Task]]="","","T-"&amp;TEXT(ROW()-ROW(Tasks[#Headers]),"000"))</f>
        <v/>
      </c>
      <c r="B840" s="15"/>
      <c r="C840" s="15"/>
      <c r="D840" s="15"/>
      <c r="E840" s="15"/>
      <c r="F840" s="16"/>
      <c r="G840" s="16"/>
      <c r="H840" s="16"/>
      <c r="I840" s="15"/>
      <c r="J840" s="15"/>
      <c r="K8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0" s="17" t="str">
        <f>IF(Tasks[[#This Row],[Task]]="","",IFERROR(VLOOKUP(IF(Tasks[[#This Row],[Effort]]="","M",Tasks[[#This Row],[Effort]]),EffortTable,2,FALSE),0))</f>
        <v/>
      </c>
      <c r="N840" t="str">
        <f>IF(Tasks[[#This Row],[Task]]="","",IFERROR(MATCH(Tasks[[#This Row],[Status]],{"Late","Blocked","Due soon"},0),9)*100000+N(Tasks[[#This Row],[Due]]))</f>
        <v/>
      </c>
      <c r="O840" t="str" cm="1">
        <f t="array" aca="1" ref="O8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0" t="str" cm="1">
        <f t="array" ref="P8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0" t="str" cm="1">
        <f t="array" ref="Q8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0" t="str" cm="1">
        <f t="array" ref="R8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1" spans="1:18" x14ac:dyDescent="0.25">
      <c r="A841" s="14" t="str" cm="1">
        <f t="array" ref="A841">IF(Tasks[[#This Row],[Task]]="","","T-"&amp;TEXT(ROW()-ROW(Tasks[#Headers]),"000"))</f>
        <v/>
      </c>
      <c r="B841" s="15"/>
      <c r="C841" s="15"/>
      <c r="D841" s="15"/>
      <c r="E841" s="15"/>
      <c r="F841" s="16"/>
      <c r="G841" s="16"/>
      <c r="H841" s="16"/>
      <c r="I841" s="15"/>
      <c r="J841" s="15"/>
      <c r="K8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1" s="17" t="str">
        <f>IF(Tasks[[#This Row],[Task]]="","",IFERROR(VLOOKUP(IF(Tasks[[#This Row],[Effort]]="","M",Tasks[[#This Row],[Effort]]),EffortTable,2,FALSE),0))</f>
        <v/>
      </c>
      <c r="N841" t="str">
        <f>IF(Tasks[[#This Row],[Task]]="","",IFERROR(MATCH(Tasks[[#This Row],[Status]],{"Late","Blocked","Due soon"},0),9)*100000+N(Tasks[[#This Row],[Due]]))</f>
        <v/>
      </c>
      <c r="O841" t="str" cm="1">
        <f t="array" aca="1" ref="O8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1" t="str" cm="1">
        <f t="array" ref="P8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1" t="str" cm="1">
        <f t="array" ref="Q8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1" t="str" cm="1">
        <f t="array" ref="R8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2" spans="1:18" x14ac:dyDescent="0.25">
      <c r="A842" s="14" t="str" cm="1">
        <f t="array" ref="A842">IF(Tasks[[#This Row],[Task]]="","","T-"&amp;TEXT(ROW()-ROW(Tasks[#Headers]),"000"))</f>
        <v/>
      </c>
      <c r="B842" s="15"/>
      <c r="C842" s="15"/>
      <c r="D842" s="15"/>
      <c r="E842" s="15"/>
      <c r="F842" s="16"/>
      <c r="G842" s="16"/>
      <c r="H842" s="16"/>
      <c r="I842" s="15"/>
      <c r="J842" s="15"/>
      <c r="K8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2" s="17" t="str">
        <f>IF(Tasks[[#This Row],[Task]]="","",IFERROR(VLOOKUP(IF(Tasks[[#This Row],[Effort]]="","M",Tasks[[#This Row],[Effort]]),EffortTable,2,FALSE),0))</f>
        <v/>
      </c>
      <c r="N842" t="str">
        <f>IF(Tasks[[#This Row],[Task]]="","",IFERROR(MATCH(Tasks[[#This Row],[Status]],{"Late","Blocked","Due soon"},0),9)*100000+N(Tasks[[#This Row],[Due]]))</f>
        <v/>
      </c>
      <c r="O842" t="str" cm="1">
        <f t="array" aca="1" ref="O8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2" t="str" cm="1">
        <f t="array" ref="P8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2" t="str" cm="1">
        <f t="array" ref="Q8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2" t="str" cm="1">
        <f t="array" ref="R8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3" spans="1:18" x14ac:dyDescent="0.25">
      <c r="A843" s="14" t="str" cm="1">
        <f t="array" ref="A843">IF(Tasks[[#This Row],[Task]]="","","T-"&amp;TEXT(ROW()-ROW(Tasks[#Headers]),"000"))</f>
        <v/>
      </c>
      <c r="B843" s="15"/>
      <c r="C843" s="15"/>
      <c r="D843" s="15"/>
      <c r="E843" s="15"/>
      <c r="F843" s="16"/>
      <c r="G843" s="16"/>
      <c r="H843" s="16"/>
      <c r="I843" s="15"/>
      <c r="J843" s="15"/>
      <c r="K8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3" s="17" t="str">
        <f>IF(Tasks[[#This Row],[Task]]="","",IFERROR(VLOOKUP(IF(Tasks[[#This Row],[Effort]]="","M",Tasks[[#This Row],[Effort]]),EffortTable,2,FALSE),0))</f>
        <v/>
      </c>
      <c r="N843" t="str">
        <f>IF(Tasks[[#This Row],[Task]]="","",IFERROR(MATCH(Tasks[[#This Row],[Status]],{"Late","Blocked","Due soon"},0),9)*100000+N(Tasks[[#This Row],[Due]]))</f>
        <v/>
      </c>
      <c r="O843" t="str" cm="1">
        <f t="array" aca="1" ref="O8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3" t="str" cm="1">
        <f t="array" ref="P8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3" t="str" cm="1">
        <f t="array" ref="Q8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3" t="str" cm="1">
        <f t="array" ref="R8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4" spans="1:18" x14ac:dyDescent="0.25">
      <c r="A844" s="14" t="str" cm="1">
        <f t="array" ref="A844">IF(Tasks[[#This Row],[Task]]="","","T-"&amp;TEXT(ROW()-ROW(Tasks[#Headers]),"000"))</f>
        <v/>
      </c>
      <c r="B844" s="15"/>
      <c r="C844" s="15"/>
      <c r="D844" s="15"/>
      <c r="E844" s="15"/>
      <c r="F844" s="16"/>
      <c r="G844" s="16"/>
      <c r="H844" s="16"/>
      <c r="I844" s="15"/>
      <c r="J844" s="15"/>
      <c r="K8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4" s="17" t="str">
        <f>IF(Tasks[[#This Row],[Task]]="","",IFERROR(VLOOKUP(IF(Tasks[[#This Row],[Effort]]="","M",Tasks[[#This Row],[Effort]]),EffortTable,2,FALSE),0))</f>
        <v/>
      </c>
      <c r="N844" t="str">
        <f>IF(Tasks[[#This Row],[Task]]="","",IFERROR(MATCH(Tasks[[#This Row],[Status]],{"Late","Blocked","Due soon"},0),9)*100000+N(Tasks[[#This Row],[Due]]))</f>
        <v/>
      </c>
      <c r="O844" t="str" cm="1">
        <f t="array" aca="1" ref="O8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4" t="str" cm="1">
        <f t="array" ref="P8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4" t="str" cm="1">
        <f t="array" ref="Q8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4" t="str" cm="1">
        <f t="array" ref="R8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5" spans="1:18" x14ac:dyDescent="0.25">
      <c r="A845" s="14" t="str" cm="1">
        <f t="array" ref="A845">IF(Tasks[[#This Row],[Task]]="","","T-"&amp;TEXT(ROW()-ROW(Tasks[#Headers]),"000"))</f>
        <v/>
      </c>
      <c r="B845" s="15"/>
      <c r="C845" s="15"/>
      <c r="D845" s="15"/>
      <c r="E845" s="15"/>
      <c r="F845" s="16"/>
      <c r="G845" s="16"/>
      <c r="H845" s="16"/>
      <c r="I845" s="15"/>
      <c r="J845" s="15"/>
      <c r="K8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5" s="17" t="str">
        <f>IF(Tasks[[#This Row],[Task]]="","",IFERROR(VLOOKUP(IF(Tasks[[#This Row],[Effort]]="","M",Tasks[[#This Row],[Effort]]),EffortTable,2,FALSE),0))</f>
        <v/>
      </c>
      <c r="N845" t="str">
        <f>IF(Tasks[[#This Row],[Task]]="","",IFERROR(MATCH(Tasks[[#This Row],[Status]],{"Late","Blocked","Due soon"},0),9)*100000+N(Tasks[[#This Row],[Due]]))</f>
        <v/>
      </c>
      <c r="O845" t="str" cm="1">
        <f t="array" aca="1" ref="O8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5" t="str" cm="1">
        <f t="array" ref="P8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5" t="str" cm="1">
        <f t="array" ref="Q8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5" t="str" cm="1">
        <f t="array" ref="R8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6" spans="1:18" x14ac:dyDescent="0.25">
      <c r="A846" s="14" t="str" cm="1">
        <f t="array" ref="A846">IF(Tasks[[#This Row],[Task]]="","","T-"&amp;TEXT(ROW()-ROW(Tasks[#Headers]),"000"))</f>
        <v/>
      </c>
      <c r="B846" s="15"/>
      <c r="C846" s="15"/>
      <c r="D846" s="15"/>
      <c r="E846" s="15"/>
      <c r="F846" s="16"/>
      <c r="G846" s="16"/>
      <c r="H846" s="16"/>
      <c r="I846" s="15"/>
      <c r="J846" s="15"/>
      <c r="K8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6" s="17" t="str">
        <f>IF(Tasks[[#This Row],[Task]]="","",IFERROR(VLOOKUP(IF(Tasks[[#This Row],[Effort]]="","M",Tasks[[#This Row],[Effort]]),EffortTable,2,FALSE),0))</f>
        <v/>
      </c>
      <c r="N846" t="str">
        <f>IF(Tasks[[#This Row],[Task]]="","",IFERROR(MATCH(Tasks[[#This Row],[Status]],{"Late","Blocked","Due soon"},0),9)*100000+N(Tasks[[#This Row],[Due]]))</f>
        <v/>
      </c>
      <c r="O846" t="str" cm="1">
        <f t="array" aca="1" ref="O8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6" t="str" cm="1">
        <f t="array" ref="P8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6" t="str" cm="1">
        <f t="array" ref="Q8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6" t="str" cm="1">
        <f t="array" ref="R8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7" spans="1:18" x14ac:dyDescent="0.25">
      <c r="A847" s="14" t="str" cm="1">
        <f t="array" ref="A847">IF(Tasks[[#This Row],[Task]]="","","T-"&amp;TEXT(ROW()-ROW(Tasks[#Headers]),"000"))</f>
        <v/>
      </c>
      <c r="B847" s="15"/>
      <c r="C847" s="15"/>
      <c r="D847" s="15"/>
      <c r="E847" s="15"/>
      <c r="F847" s="16"/>
      <c r="G847" s="16"/>
      <c r="H847" s="16"/>
      <c r="I847" s="15"/>
      <c r="J847" s="15"/>
      <c r="K8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7" s="17" t="str">
        <f>IF(Tasks[[#This Row],[Task]]="","",IFERROR(VLOOKUP(IF(Tasks[[#This Row],[Effort]]="","M",Tasks[[#This Row],[Effort]]),EffortTable,2,FALSE),0))</f>
        <v/>
      </c>
      <c r="N847" t="str">
        <f>IF(Tasks[[#This Row],[Task]]="","",IFERROR(MATCH(Tasks[[#This Row],[Status]],{"Late","Blocked","Due soon"},0),9)*100000+N(Tasks[[#This Row],[Due]]))</f>
        <v/>
      </c>
      <c r="O847" t="str" cm="1">
        <f t="array" aca="1" ref="O8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7" t="str" cm="1">
        <f t="array" ref="P8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7" t="str" cm="1">
        <f t="array" ref="Q8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7" t="str" cm="1">
        <f t="array" ref="R8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8" spans="1:18" x14ac:dyDescent="0.25">
      <c r="A848" s="14" t="str" cm="1">
        <f t="array" ref="A848">IF(Tasks[[#This Row],[Task]]="","","T-"&amp;TEXT(ROW()-ROW(Tasks[#Headers]),"000"))</f>
        <v/>
      </c>
      <c r="B848" s="15"/>
      <c r="C848" s="15"/>
      <c r="D848" s="15"/>
      <c r="E848" s="15"/>
      <c r="F848" s="16"/>
      <c r="G848" s="16"/>
      <c r="H848" s="16"/>
      <c r="I848" s="15"/>
      <c r="J848" s="15"/>
      <c r="K8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8" s="17" t="str">
        <f>IF(Tasks[[#This Row],[Task]]="","",IFERROR(VLOOKUP(IF(Tasks[[#This Row],[Effort]]="","M",Tasks[[#This Row],[Effort]]),EffortTable,2,FALSE),0))</f>
        <v/>
      </c>
      <c r="N848" t="str">
        <f>IF(Tasks[[#This Row],[Task]]="","",IFERROR(MATCH(Tasks[[#This Row],[Status]],{"Late","Blocked","Due soon"},0),9)*100000+N(Tasks[[#This Row],[Due]]))</f>
        <v/>
      </c>
      <c r="O848" t="str" cm="1">
        <f t="array" aca="1" ref="O8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8" t="str" cm="1">
        <f t="array" ref="P8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8" t="str" cm="1">
        <f t="array" ref="Q8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8" t="str" cm="1">
        <f t="array" ref="R8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49" spans="1:18" x14ac:dyDescent="0.25">
      <c r="A849" s="14" t="str" cm="1">
        <f t="array" ref="A849">IF(Tasks[[#This Row],[Task]]="","","T-"&amp;TEXT(ROW()-ROW(Tasks[#Headers]),"000"))</f>
        <v/>
      </c>
      <c r="B849" s="15"/>
      <c r="C849" s="15"/>
      <c r="D849" s="15"/>
      <c r="E849" s="15"/>
      <c r="F849" s="16"/>
      <c r="G849" s="16"/>
      <c r="H849" s="16"/>
      <c r="I849" s="15"/>
      <c r="J849" s="15"/>
      <c r="K8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49" s="17" t="str">
        <f>IF(Tasks[[#This Row],[Task]]="","",IFERROR(VLOOKUP(IF(Tasks[[#This Row],[Effort]]="","M",Tasks[[#This Row],[Effort]]),EffortTable,2,FALSE),0))</f>
        <v/>
      </c>
      <c r="N849" t="str">
        <f>IF(Tasks[[#This Row],[Task]]="","",IFERROR(MATCH(Tasks[[#This Row],[Status]],{"Late","Blocked","Due soon"},0),9)*100000+N(Tasks[[#This Row],[Due]]))</f>
        <v/>
      </c>
      <c r="O849" t="str" cm="1">
        <f t="array" aca="1" ref="O8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49" t="str" cm="1">
        <f t="array" ref="P8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49" t="str" cm="1">
        <f t="array" ref="Q8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49" t="str" cm="1">
        <f t="array" ref="R8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0" spans="1:18" x14ac:dyDescent="0.25">
      <c r="A850" s="14" t="str" cm="1">
        <f t="array" ref="A850">IF(Tasks[[#This Row],[Task]]="","","T-"&amp;TEXT(ROW()-ROW(Tasks[#Headers]),"000"))</f>
        <v/>
      </c>
      <c r="B850" s="15"/>
      <c r="C850" s="15"/>
      <c r="D850" s="15"/>
      <c r="E850" s="15"/>
      <c r="F850" s="16"/>
      <c r="G850" s="16"/>
      <c r="H850" s="16"/>
      <c r="I850" s="15"/>
      <c r="J850" s="15"/>
      <c r="K8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0" s="17" t="str">
        <f>IF(Tasks[[#This Row],[Task]]="","",IFERROR(VLOOKUP(IF(Tasks[[#This Row],[Effort]]="","M",Tasks[[#This Row],[Effort]]),EffortTable,2,FALSE),0))</f>
        <v/>
      </c>
      <c r="N850" t="str">
        <f>IF(Tasks[[#This Row],[Task]]="","",IFERROR(MATCH(Tasks[[#This Row],[Status]],{"Late","Blocked","Due soon"},0),9)*100000+N(Tasks[[#This Row],[Due]]))</f>
        <v/>
      </c>
      <c r="O850" t="str" cm="1">
        <f t="array" aca="1" ref="O8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0" t="str" cm="1">
        <f t="array" ref="P8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0" t="str" cm="1">
        <f t="array" ref="Q8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0" t="str" cm="1">
        <f t="array" ref="R8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1" spans="1:18" x14ac:dyDescent="0.25">
      <c r="A851" s="14" t="str" cm="1">
        <f t="array" ref="A851">IF(Tasks[[#This Row],[Task]]="","","T-"&amp;TEXT(ROW()-ROW(Tasks[#Headers]),"000"))</f>
        <v/>
      </c>
      <c r="B851" s="15"/>
      <c r="C851" s="15"/>
      <c r="D851" s="15"/>
      <c r="E851" s="15"/>
      <c r="F851" s="16"/>
      <c r="G851" s="16"/>
      <c r="H851" s="16"/>
      <c r="I851" s="15"/>
      <c r="J851" s="15"/>
      <c r="K8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1" s="17" t="str">
        <f>IF(Tasks[[#This Row],[Task]]="","",IFERROR(VLOOKUP(IF(Tasks[[#This Row],[Effort]]="","M",Tasks[[#This Row],[Effort]]),EffortTable,2,FALSE),0))</f>
        <v/>
      </c>
      <c r="N851" t="str">
        <f>IF(Tasks[[#This Row],[Task]]="","",IFERROR(MATCH(Tasks[[#This Row],[Status]],{"Late","Blocked","Due soon"},0),9)*100000+N(Tasks[[#This Row],[Due]]))</f>
        <v/>
      </c>
      <c r="O851" t="str" cm="1">
        <f t="array" aca="1" ref="O8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1" t="str" cm="1">
        <f t="array" ref="P8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1" t="str" cm="1">
        <f t="array" ref="Q8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1" t="str" cm="1">
        <f t="array" ref="R8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2" spans="1:18" x14ac:dyDescent="0.25">
      <c r="A852" s="14" t="str" cm="1">
        <f t="array" ref="A852">IF(Tasks[[#This Row],[Task]]="","","T-"&amp;TEXT(ROW()-ROW(Tasks[#Headers]),"000"))</f>
        <v/>
      </c>
      <c r="B852" s="15"/>
      <c r="C852" s="15"/>
      <c r="D852" s="15"/>
      <c r="E852" s="15"/>
      <c r="F852" s="16"/>
      <c r="G852" s="16"/>
      <c r="H852" s="16"/>
      <c r="I852" s="15"/>
      <c r="J852" s="15"/>
      <c r="K8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2" s="17" t="str">
        <f>IF(Tasks[[#This Row],[Task]]="","",IFERROR(VLOOKUP(IF(Tasks[[#This Row],[Effort]]="","M",Tasks[[#This Row],[Effort]]),EffortTable,2,FALSE),0))</f>
        <v/>
      </c>
      <c r="N852" t="str">
        <f>IF(Tasks[[#This Row],[Task]]="","",IFERROR(MATCH(Tasks[[#This Row],[Status]],{"Late","Blocked","Due soon"},0),9)*100000+N(Tasks[[#This Row],[Due]]))</f>
        <v/>
      </c>
      <c r="O852" t="str" cm="1">
        <f t="array" aca="1" ref="O8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2" t="str" cm="1">
        <f t="array" ref="P8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2" t="str" cm="1">
        <f t="array" ref="Q8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2" t="str" cm="1">
        <f t="array" ref="R8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3" spans="1:18" x14ac:dyDescent="0.25">
      <c r="A853" s="14" t="str" cm="1">
        <f t="array" ref="A853">IF(Tasks[[#This Row],[Task]]="","","T-"&amp;TEXT(ROW()-ROW(Tasks[#Headers]),"000"))</f>
        <v/>
      </c>
      <c r="B853" s="15"/>
      <c r="C853" s="15"/>
      <c r="D853" s="15"/>
      <c r="E853" s="15"/>
      <c r="F853" s="16"/>
      <c r="G853" s="16"/>
      <c r="H853" s="16"/>
      <c r="I853" s="15"/>
      <c r="J853" s="15"/>
      <c r="K8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3" s="17" t="str">
        <f>IF(Tasks[[#This Row],[Task]]="","",IFERROR(VLOOKUP(IF(Tasks[[#This Row],[Effort]]="","M",Tasks[[#This Row],[Effort]]),EffortTable,2,FALSE),0))</f>
        <v/>
      </c>
      <c r="N853" t="str">
        <f>IF(Tasks[[#This Row],[Task]]="","",IFERROR(MATCH(Tasks[[#This Row],[Status]],{"Late","Blocked","Due soon"},0),9)*100000+N(Tasks[[#This Row],[Due]]))</f>
        <v/>
      </c>
      <c r="O853" t="str" cm="1">
        <f t="array" aca="1" ref="O8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3" t="str" cm="1">
        <f t="array" ref="P8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3" t="str" cm="1">
        <f t="array" ref="Q8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3" t="str" cm="1">
        <f t="array" ref="R8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4" spans="1:18" x14ac:dyDescent="0.25">
      <c r="A854" s="14" t="str" cm="1">
        <f t="array" ref="A854">IF(Tasks[[#This Row],[Task]]="","","T-"&amp;TEXT(ROW()-ROW(Tasks[#Headers]),"000"))</f>
        <v/>
      </c>
      <c r="B854" s="15"/>
      <c r="C854" s="15"/>
      <c r="D854" s="15"/>
      <c r="E854" s="15"/>
      <c r="F854" s="16"/>
      <c r="G854" s="16"/>
      <c r="H854" s="16"/>
      <c r="I854" s="15"/>
      <c r="J854" s="15"/>
      <c r="K8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4" s="17" t="str">
        <f>IF(Tasks[[#This Row],[Task]]="","",IFERROR(VLOOKUP(IF(Tasks[[#This Row],[Effort]]="","M",Tasks[[#This Row],[Effort]]),EffortTable,2,FALSE),0))</f>
        <v/>
      </c>
      <c r="N854" t="str">
        <f>IF(Tasks[[#This Row],[Task]]="","",IFERROR(MATCH(Tasks[[#This Row],[Status]],{"Late","Blocked","Due soon"},0),9)*100000+N(Tasks[[#This Row],[Due]]))</f>
        <v/>
      </c>
      <c r="O854" t="str" cm="1">
        <f t="array" aca="1" ref="O8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4" t="str" cm="1">
        <f t="array" ref="P8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4" t="str" cm="1">
        <f t="array" ref="Q8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4" t="str" cm="1">
        <f t="array" ref="R8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5" spans="1:18" x14ac:dyDescent="0.25">
      <c r="A855" s="14" t="str" cm="1">
        <f t="array" ref="A855">IF(Tasks[[#This Row],[Task]]="","","T-"&amp;TEXT(ROW()-ROW(Tasks[#Headers]),"000"))</f>
        <v/>
      </c>
      <c r="B855" s="15"/>
      <c r="C855" s="15"/>
      <c r="D855" s="15"/>
      <c r="E855" s="15"/>
      <c r="F855" s="16"/>
      <c r="G855" s="16"/>
      <c r="H855" s="16"/>
      <c r="I855" s="15"/>
      <c r="J855" s="15"/>
      <c r="K8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5" s="17" t="str">
        <f>IF(Tasks[[#This Row],[Task]]="","",IFERROR(VLOOKUP(IF(Tasks[[#This Row],[Effort]]="","M",Tasks[[#This Row],[Effort]]),EffortTable,2,FALSE),0))</f>
        <v/>
      </c>
      <c r="N855" t="str">
        <f>IF(Tasks[[#This Row],[Task]]="","",IFERROR(MATCH(Tasks[[#This Row],[Status]],{"Late","Blocked","Due soon"},0),9)*100000+N(Tasks[[#This Row],[Due]]))</f>
        <v/>
      </c>
      <c r="O855" t="str" cm="1">
        <f t="array" aca="1" ref="O8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5" t="str" cm="1">
        <f t="array" ref="P8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5" t="str" cm="1">
        <f t="array" ref="Q8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5" t="str" cm="1">
        <f t="array" ref="R8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6" spans="1:18" x14ac:dyDescent="0.25">
      <c r="A856" s="14" t="str" cm="1">
        <f t="array" ref="A856">IF(Tasks[[#This Row],[Task]]="","","T-"&amp;TEXT(ROW()-ROW(Tasks[#Headers]),"000"))</f>
        <v/>
      </c>
      <c r="B856" s="15"/>
      <c r="C856" s="15"/>
      <c r="D856" s="15"/>
      <c r="E856" s="15"/>
      <c r="F856" s="16"/>
      <c r="G856" s="16"/>
      <c r="H856" s="16"/>
      <c r="I856" s="15"/>
      <c r="J856" s="15"/>
      <c r="K8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6" s="17" t="str">
        <f>IF(Tasks[[#This Row],[Task]]="","",IFERROR(VLOOKUP(IF(Tasks[[#This Row],[Effort]]="","M",Tasks[[#This Row],[Effort]]),EffortTable,2,FALSE),0))</f>
        <v/>
      </c>
      <c r="N856" t="str">
        <f>IF(Tasks[[#This Row],[Task]]="","",IFERROR(MATCH(Tasks[[#This Row],[Status]],{"Late","Blocked","Due soon"},0),9)*100000+N(Tasks[[#This Row],[Due]]))</f>
        <v/>
      </c>
      <c r="O856" t="str" cm="1">
        <f t="array" aca="1" ref="O8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6" t="str" cm="1">
        <f t="array" ref="P8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6" t="str" cm="1">
        <f t="array" ref="Q8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6" t="str" cm="1">
        <f t="array" ref="R8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7" spans="1:18" x14ac:dyDescent="0.25">
      <c r="A857" s="14" t="str" cm="1">
        <f t="array" ref="A857">IF(Tasks[[#This Row],[Task]]="","","T-"&amp;TEXT(ROW()-ROW(Tasks[#Headers]),"000"))</f>
        <v/>
      </c>
      <c r="B857" s="15"/>
      <c r="C857" s="15"/>
      <c r="D857" s="15"/>
      <c r="E857" s="15"/>
      <c r="F857" s="16"/>
      <c r="G857" s="16"/>
      <c r="H857" s="16"/>
      <c r="I857" s="15"/>
      <c r="J857" s="15"/>
      <c r="K8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7" s="17" t="str">
        <f>IF(Tasks[[#This Row],[Task]]="","",IFERROR(VLOOKUP(IF(Tasks[[#This Row],[Effort]]="","M",Tasks[[#This Row],[Effort]]),EffortTable,2,FALSE),0))</f>
        <v/>
      </c>
      <c r="N857" t="str">
        <f>IF(Tasks[[#This Row],[Task]]="","",IFERROR(MATCH(Tasks[[#This Row],[Status]],{"Late","Blocked","Due soon"},0),9)*100000+N(Tasks[[#This Row],[Due]]))</f>
        <v/>
      </c>
      <c r="O857" t="str" cm="1">
        <f t="array" aca="1" ref="O8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7" t="str" cm="1">
        <f t="array" ref="P8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7" t="str" cm="1">
        <f t="array" ref="Q8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7" t="str" cm="1">
        <f t="array" ref="R8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8" spans="1:18" x14ac:dyDescent="0.25">
      <c r="A858" s="14" t="str" cm="1">
        <f t="array" ref="A858">IF(Tasks[[#This Row],[Task]]="","","T-"&amp;TEXT(ROW()-ROW(Tasks[#Headers]),"000"))</f>
        <v/>
      </c>
      <c r="B858" s="15"/>
      <c r="C858" s="15"/>
      <c r="D858" s="15"/>
      <c r="E858" s="15"/>
      <c r="F858" s="16"/>
      <c r="G858" s="16"/>
      <c r="H858" s="16"/>
      <c r="I858" s="15"/>
      <c r="J858" s="15"/>
      <c r="K8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8" s="17" t="str">
        <f>IF(Tasks[[#This Row],[Task]]="","",IFERROR(VLOOKUP(IF(Tasks[[#This Row],[Effort]]="","M",Tasks[[#This Row],[Effort]]),EffortTable,2,FALSE),0))</f>
        <v/>
      </c>
      <c r="N858" t="str">
        <f>IF(Tasks[[#This Row],[Task]]="","",IFERROR(MATCH(Tasks[[#This Row],[Status]],{"Late","Blocked","Due soon"},0),9)*100000+N(Tasks[[#This Row],[Due]]))</f>
        <v/>
      </c>
      <c r="O858" t="str" cm="1">
        <f t="array" aca="1" ref="O8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8" t="str" cm="1">
        <f t="array" ref="P8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8" t="str" cm="1">
        <f t="array" ref="Q8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8" t="str" cm="1">
        <f t="array" ref="R8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59" spans="1:18" x14ac:dyDescent="0.25">
      <c r="A859" s="14" t="str" cm="1">
        <f t="array" ref="A859">IF(Tasks[[#This Row],[Task]]="","","T-"&amp;TEXT(ROW()-ROW(Tasks[#Headers]),"000"))</f>
        <v/>
      </c>
      <c r="B859" s="15"/>
      <c r="C859" s="15"/>
      <c r="D859" s="15"/>
      <c r="E859" s="15"/>
      <c r="F859" s="16"/>
      <c r="G859" s="16"/>
      <c r="H859" s="16"/>
      <c r="I859" s="15"/>
      <c r="J859" s="15"/>
      <c r="K8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59" s="17" t="str">
        <f>IF(Tasks[[#This Row],[Task]]="","",IFERROR(VLOOKUP(IF(Tasks[[#This Row],[Effort]]="","M",Tasks[[#This Row],[Effort]]),EffortTable,2,FALSE),0))</f>
        <v/>
      </c>
      <c r="N859" t="str">
        <f>IF(Tasks[[#This Row],[Task]]="","",IFERROR(MATCH(Tasks[[#This Row],[Status]],{"Late","Blocked","Due soon"},0),9)*100000+N(Tasks[[#This Row],[Due]]))</f>
        <v/>
      </c>
      <c r="O859" t="str" cm="1">
        <f t="array" aca="1" ref="O8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59" t="str" cm="1">
        <f t="array" ref="P8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59" t="str" cm="1">
        <f t="array" ref="Q8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59" t="str" cm="1">
        <f t="array" ref="R8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0" spans="1:18" x14ac:dyDescent="0.25">
      <c r="A860" s="14" t="str" cm="1">
        <f t="array" ref="A860">IF(Tasks[[#This Row],[Task]]="","","T-"&amp;TEXT(ROW()-ROW(Tasks[#Headers]),"000"))</f>
        <v/>
      </c>
      <c r="B860" s="15"/>
      <c r="C860" s="15"/>
      <c r="D860" s="15"/>
      <c r="E860" s="15"/>
      <c r="F860" s="16"/>
      <c r="G860" s="16"/>
      <c r="H860" s="16"/>
      <c r="I860" s="15"/>
      <c r="J860" s="15"/>
      <c r="K8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0" s="17" t="str">
        <f>IF(Tasks[[#This Row],[Task]]="","",IFERROR(VLOOKUP(IF(Tasks[[#This Row],[Effort]]="","M",Tasks[[#This Row],[Effort]]),EffortTable,2,FALSE),0))</f>
        <v/>
      </c>
      <c r="N860" t="str">
        <f>IF(Tasks[[#This Row],[Task]]="","",IFERROR(MATCH(Tasks[[#This Row],[Status]],{"Late","Blocked","Due soon"},0),9)*100000+N(Tasks[[#This Row],[Due]]))</f>
        <v/>
      </c>
      <c r="O860" t="str" cm="1">
        <f t="array" aca="1" ref="O8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0" t="str" cm="1">
        <f t="array" ref="P8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0" t="str" cm="1">
        <f t="array" ref="Q8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0" t="str" cm="1">
        <f t="array" ref="R8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1" spans="1:18" x14ac:dyDescent="0.25">
      <c r="A861" s="14" t="str" cm="1">
        <f t="array" ref="A861">IF(Tasks[[#This Row],[Task]]="","","T-"&amp;TEXT(ROW()-ROW(Tasks[#Headers]),"000"))</f>
        <v/>
      </c>
      <c r="B861" s="15"/>
      <c r="C861" s="15"/>
      <c r="D861" s="15"/>
      <c r="E861" s="15"/>
      <c r="F861" s="16"/>
      <c r="G861" s="16"/>
      <c r="H861" s="16"/>
      <c r="I861" s="15"/>
      <c r="J861" s="15"/>
      <c r="K8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1" s="17" t="str">
        <f>IF(Tasks[[#This Row],[Task]]="","",IFERROR(VLOOKUP(IF(Tasks[[#This Row],[Effort]]="","M",Tasks[[#This Row],[Effort]]),EffortTable,2,FALSE),0))</f>
        <v/>
      </c>
      <c r="N861" t="str">
        <f>IF(Tasks[[#This Row],[Task]]="","",IFERROR(MATCH(Tasks[[#This Row],[Status]],{"Late","Blocked","Due soon"},0),9)*100000+N(Tasks[[#This Row],[Due]]))</f>
        <v/>
      </c>
      <c r="O861" t="str" cm="1">
        <f t="array" aca="1" ref="O8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1" t="str" cm="1">
        <f t="array" ref="P8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1" t="str" cm="1">
        <f t="array" ref="Q8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1" t="str" cm="1">
        <f t="array" ref="R8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2" spans="1:18" x14ac:dyDescent="0.25">
      <c r="A862" s="14" t="str" cm="1">
        <f t="array" ref="A862">IF(Tasks[[#This Row],[Task]]="","","T-"&amp;TEXT(ROW()-ROW(Tasks[#Headers]),"000"))</f>
        <v/>
      </c>
      <c r="B862" s="15"/>
      <c r="C862" s="15"/>
      <c r="D862" s="15"/>
      <c r="E862" s="15"/>
      <c r="F862" s="16"/>
      <c r="G862" s="16"/>
      <c r="H862" s="16"/>
      <c r="I862" s="15"/>
      <c r="J862" s="15"/>
      <c r="K8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2" s="17" t="str">
        <f>IF(Tasks[[#This Row],[Task]]="","",IFERROR(VLOOKUP(IF(Tasks[[#This Row],[Effort]]="","M",Tasks[[#This Row],[Effort]]),EffortTable,2,FALSE),0))</f>
        <v/>
      </c>
      <c r="N862" t="str">
        <f>IF(Tasks[[#This Row],[Task]]="","",IFERROR(MATCH(Tasks[[#This Row],[Status]],{"Late","Blocked","Due soon"},0),9)*100000+N(Tasks[[#This Row],[Due]]))</f>
        <v/>
      </c>
      <c r="O862" t="str" cm="1">
        <f t="array" aca="1" ref="O8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2" t="str" cm="1">
        <f t="array" ref="P8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2" t="str" cm="1">
        <f t="array" ref="Q8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2" t="str" cm="1">
        <f t="array" ref="R8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3" spans="1:18" x14ac:dyDescent="0.25">
      <c r="A863" s="14" t="str" cm="1">
        <f t="array" ref="A863">IF(Tasks[[#This Row],[Task]]="","","T-"&amp;TEXT(ROW()-ROW(Tasks[#Headers]),"000"))</f>
        <v/>
      </c>
      <c r="B863" s="15"/>
      <c r="C863" s="15"/>
      <c r="D863" s="15"/>
      <c r="E863" s="15"/>
      <c r="F863" s="16"/>
      <c r="G863" s="16"/>
      <c r="H863" s="16"/>
      <c r="I863" s="15"/>
      <c r="J863" s="15"/>
      <c r="K8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3" s="17" t="str">
        <f>IF(Tasks[[#This Row],[Task]]="","",IFERROR(VLOOKUP(IF(Tasks[[#This Row],[Effort]]="","M",Tasks[[#This Row],[Effort]]),EffortTable,2,FALSE),0))</f>
        <v/>
      </c>
      <c r="N863" t="str">
        <f>IF(Tasks[[#This Row],[Task]]="","",IFERROR(MATCH(Tasks[[#This Row],[Status]],{"Late","Blocked","Due soon"},0),9)*100000+N(Tasks[[#This Row],[Due]]))</f>
        <v/>
      </c>
      <c r="O863" t="str" cm="1">
        <f t="array" aca="1" ref="O8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3" t="str" cm="1">
        <f t="array" ref="P8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3" t="str" cm="1">
        <f t="array" ref="Q8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3" t="str" cm="1">
        <f t="array" ref="R8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4" spans="1:18" x14ac:dyDescent="0.25">
      <c r="A864" s="14" t="str" cm="1">
        <f t="array" ref="A864">IF(Tasks[[#This Row],[Task]]="","","T-"&amp;TEXT(ROW()-ROW(Tasks[#Headers]),"000"))</f>
        <v/>
      </c>
      <c r="B864" s="15"/>
      <c r="C864" s="15"/>
      <c r="D864" s="15"/>
      <c r="E864" s="15"/>
      <c r="F864" s="16"/>
      <c r="G864" s="16"/>
      <c r="H864" s="16"/>
      <c r="I864" s="15"/>
      <c r="J864" s="15"/>
      <c r="K8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4" s="17" t="str">
        <f>IF(Tasks[[#This Row],[Task]]="","",IFERROR(VLOOKUP(IF(Tasks[[#This Row],[Effort]]="","M",Tasks[[#This Row],[Effort]]),EffortTable,2,FALSE),0))</f>
        <v/>
      </c>
      <c r="N864" t="str">
        <f>IF(Tasks[[#This Row],[Task]]="","",IFERROR(MATCH(Tasks[[#This Row],[Status]],{"Late","Blocked","Due soon"},0),9)*100000+N(Tasks[[#This Row],[Due]]))</f>
        <v/>
      </c>
      <c r="O864" t="str" cm="1">
        <f t="array" aca="1" ref="O8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4" t="str" cm="1">
        <f t="array" ref="P8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4" t="str" cm="1">
        <f t="array" ref="Q8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4" t="str" cm="1">
        <f t="array" ref="R8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5" spans="1:18" x14ac:dyDescent="0.25">
      <c r="A865" s="14" t="str" cm="1">
        <f t="array" ref="A865">IF(Tasks[[#This Row],[Task]]="","","T-"&amp;TEXT(ROW()-ROW(Tasks[#Headers]),"000"))</f>
        <v/>
      </c>
      <c r="B865" s="15"/>
      <c r="C865" s="15"/>
      <c r="D865" s="15"/>
      <c r="E865" s="15"/>
      <c r="F865" s="16"/>
      <c r="G865" s="16"/>
      <c r="H865" s="16"/>
      <c r="I865" s="15"/>
      <c r="J865" s="15"/>
      <c r="K8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5" s="17" t="str">
        <f>IF(Tasks[[#This Row],[Task]]="","",IFERROR(VLOOKUP(IF(Tasks[[#This Row],[Effort]]="","M",Tasks[[#This Row],[Effort]]),EffortTable,2,FALSE),0))</f>
        <v/>
      </c>
      <c r="N865" t="str">
        <f>IF(Tasks[[#This Row],[Task]]="","",IFERROR(MATCH(Tasks[[#This Row],[Status]],{"Late","Blocked","Due soon"},0),9)*100000+N(Tasks[[#This Row],[Due]]))</f>
        <v/>
      </c>
      <c r="O865" t="str" cm="1">
        <f t="array" aca="1" ref="O8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5" t="str" cm="1">
        <f t="array" ref="P8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5" t="str" cm="1">
        <f t="array" ref="Q8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5" t="str" cm="1">
        <f t="array" ref="R8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6" spans="1:18" x14ac:dyDescent="0.25">
      <c r="A866" s="14" t="str" cm="1">
        <f t="array" ref="A866">IF(Tasks[[#This Row],[Task]]="","","T-"&amp;TEXT(ROW()-ROW(Tasks[#Headers]),"000"))</f>
        <v/>
      </c>
      <c r="B866" s="15"/>
      <c r="C866" s="15"/>
      <c r="D866" s="15"/>
      <c r="E866" s="15"/>
      <c r="F866" s="16"/>
      <c r="G866" s="16"/>
      <c r="H866" s="16"/>
      <c r="I866" s="15"/>
      <c r="J866" s="15"/>
      <c r="K8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6" s="17" t="str">
        <f>IF(Tasks[[#This Row],[Task]]="","",IFERROR(VLOOKUP(IF(Tasks[[#This Row],[Effort]]="","M",Tasks[[#This Row],[Effort]]),EffortTable,2,FALSE),0))</f>
        <v/>
      </c>
      <c r="N866" t="str">
        <f>IF(Tasks[[#This Row],[Task]]="","",IFERROR(MATCH(Tasks[[#This Row],[Status]],{"Late","Blocked","Due soon"},0),9)*100000+N(Tasks[[#This Row],[Due]]))</f>
        <v/>
      </c>
      <c r="O866" t="str" cm="1">
        <f t="array" aca="1" ref="O8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6" t="str" cm="1">
        <f t="array" ref="P8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6" t="str" cm="1">
        <f t="array" ref="Q8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6" t="str" cm="1">
        <f t="array" ref="R8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7" spans="1:18" x14ac:dyDescent="0.25">
      <c r="A867" s="14" t="str" cm="1">
        <f t="array" ref="A867">IF(Tasks[[#This Row],[Task]]="","","T-"&amp;TEXT(ROW()-ROW(Tasks[#Headers]),"000"))</f>
        <v/>
      </c>
      <c r="B867" s="15"/>
      <c r="C867" s="15"/>
      <c r="D867" s="15"/>
      <c r="E867" s="15"/>
      <c r="F867" s="16"/>
      <c r="G867" s="16"/>
      <c r="H867" s="16"/>
      <c r="I867" s="15"/>
      <c r="J867" s="15"/>
      <c r="K8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7" s="17" t="str">
        <f>IF(Tasks[[#This Row],[Task]]="","",IFERROR(VLOOKUP(IF(Tasks[[#This Row],[Effort]]="","M",Tasks[[#This Row],[Effort]]),EffortTable,2,FALSE),0))</f>
        <v/>
      </c>
      <c r="N867" t="str">
        <f>IF(Tasks[[#This Row],[Task]]="","",IFERROR(MATCH(Tasks[[#This Row],[Status]],{"Late","Blocked","Due soon"},0),9)*100000+N(Tasks[[#This Row],[Due]]))</f>
        <v/>
      </c>
      <c r="O867" t="str" cm="1">
        <f t="array" aca="1" ref="O8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7" t="str" cm="1">
        <f t="array" ref="P8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7" t="str" cm="1">
        <f t="array" ref="Q8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7" t="str" cm="1">
        <f t="array" ref="R8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8" spans="1:18" x14ac:dyDescent="0.25">
      <c r="A868" s="14" t="str" cm="1">
        <f t="array" ref="A868">IF(Tasks[[#This Row],[Task]]="","","T-"&amp;TEXT(ROW()-ROW(Tasks[#Headers]),"000"))</f>
        <v/>
      </c>
      <c r="B868" s="15"/>
      <c r="C868" s="15"/>
      <c r="D868" s="15"/>
      <c r="E868" s="15"/>
      <c r="F868" s="16"/>
      <c r="G868" s="16"/>
      <c r="H868" s="16"/>
      <c r="I868" s="15"/>
      <c r="J868" s="15"/>
      <c r="K8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8" s="17" t="str">
        <f>IF(Tasks[[#This Row],[Task]]="","",IFERROR(VLOOKUP(IF(Tasks[[#This Row],[Effort]]="","M",Tasks[[#This Row],[Effort]]),EffortTable,2,FALSE),0))</f>
        <v/>
      </c>
      <c r="N868" t="str">
        <f>IF(Tasks[[#This Row],[Task]]="","",IFERROR(MATCH(Tasks[[#This Row],[Status]],{"Late","Blocked","Due soon"},0),9)*100000+N(Tasks[[#This Row],[Due]]))</f>
        <v/>
      </c>
      <c r="O868" t="str" cm="1">
        <f t="array" aca="1" ref="O8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8" t="str" cm="1">
        <f t="array" ref="P8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8" t="str" cm="1">
        <f t="array" ref="Q8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8" t="str" cm="1">
        <f t="array" ref="R8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69" spans="1:18" x14ac:dyDescent="0.25">
      <c r="A869" s="14" t="str" cm="1">
        <f t="array" ref="A869">IF(Tasks[[#This Row],[Task]]="","","T-"&amp;TEXT(ROW()-ROW(Tasks[#Headers]),"000"))</f>
        <v/>
      </c>
      <c r="B869" s="15"/>
      <c r="C869" s="15"/>
      <c r="D869" s="15"/>
      <c r="E869" s="15"/>
      <c r="F869" s="16"/>
      <c r="G869" s="16"/>
      <c r="H869" s="16"/>
      <c r="I869" s="15"/>
      <c r="J869" s="15"/>
      <c r="K8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69" s="17" t="str">
        <f>IF(Tasks[[#This Row],[Task]]="","",IFERROR(VLOOKUP(IF(Tasks[[#This Row],[Effort]]="","M",Tasks[[#This Row],[Effort]]),EffortTable,2,FALSE),0))</f>
        <v/>
      </c>
      <c r="N869" t="str">
        <f>IF(Tasks[[#This Row],[Task]]="","",IFERROR(MATCH(Tasks[[#This Row],[Status]],{"Late","Blocked","Due soon"},0),9)*100000+N(Tasks[[#This Row],[Due]]))</f>
        <v/>
      </c>
      <c r="O869" t="str" cm="1">
        <f t="array" aca="1" ref="O8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69" t="str" cm="1">
        <f t="array" ref="P8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69" t="str" cm="1">
        <f t="array" ref="Q8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69" t="str" cm="1">
        <f t="array" ref="R8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0" spans="1:18" x14ac:dyDescent="0.25">
      <c r="A870" s="14" t="str" cm="1">
        <f t="array" ref="A870">IF(Tasks[[#This Row],[Task]]="","","T-"&amp;TEXT(ROW()-ROW(Tasks[#Headers]),"000"))</f>
        <v/>
      </c>
      <c r="B870" s="15"/>
      <c r="C870" s="15"/>
      <c r="D870" s="15"/>
      <c r="E870" s="15"/>
      <c r="F870" s="16"/>
      <c r="G870" s="16"/>
      <c r="H870" s="16"/>
      <c r="I870" s="15"/>
      <c r="J870" s="15"/>
      <c r="K8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0" s="17" t="str">
        <f>IF(Tasks[[#This Row],[Task]]="","",IFERROR(VLOOKUP(IF(Tasks[[#This Row],[Effort]]="","M",Tasks[[#This Row],[Effort]]),EffortTable,2,FALSE),0))</f>
        <v/>
      </c>
      <c r="N870" t="str">
        <f>IF(Tasks[[#This Row],[Task]]="","",IFERROR(MATCH(Tasks[[#This Row],[Status]],{"Late","Blocked","Due soon"},0),9)*100000+N(Tasks[[#This Row],[Due]]))</f>
        <v/>
      </c>
      <c r="O870" t="str" cm="1">
        <f t="array" aca="1" ref="O8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0" t="str" cm="1">
        <f t="array" ref="P8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0" t="str" cm="1">
        <f t="array" ref="Q8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0" t="str" cm="1">
        <f t="array" ref="R8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1" spans="1:18" x14ac:dyDescent="0.25">
      <c r="A871" s="14" t="str" cm="1">
        <f t="array" ref="A871">IF(Tasks[[#This Row],[Task]]="","","T-"&amp;TEXT(ROW()-ROW(Tasks[#Headers]),"000"))</f>
        <v/>
      </c>
      <c r="B871" s="15"/>
      <c r="C871" s="15"/>
      <c r="D871" s="15"/>
      <c r="E871" s="15"/>
      <c r="F871" s="16"/>
      <c r="G871" s="16"/>
      <c r="H871" s="16"/>
      <c r="I871" s="15"/>
      <c r="J871" s="15"/>
      <c r="K8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1" s="17" t="str">
        <f>IF(Tasks[[#This Row],[Task]]="","",IFERROR(VLOOKUP(IF(Tasks[[#This Row],[Effort]]="","M",Tasks[[#This Row],[Effort]]),EffortTable,2,FALSE),0))</f>
        <v/>
      </c>
      <c r="N871" t="str">
        <f>IF(Tasks[[#This Row],[Task]]="","",IFERROR(MATCH(Tasks[[#This Row],[Status]],{"Late","Blocked","Due soon"},0),9)*100000+N(Tasks[[#This Row],[Due]]))</f>
        <v/>
      </c>
      <c r="O871" t="str" cm="1">
        <f t="array" aca="1" ref="O8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1" t="str" cm="1">
        <f t="array" ref="P8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1" t="str" cm="1">
        <f t="array" ref="Q8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1" t="str" cm="1">
        <f t="array" ref="R8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2" spans="1:18" x14ac:dyDescent="0.25">
      <c r="A872" s="14" t="str" cm="1">
        <f t="array" ref="A872">IF(Tasks[[#This Row],[Task]]="","","T-"&amp;TEXT(ROW()-ROW(Tasks[#Headers]),"000"))</f>
        <v/>
      </c>
      <c r="B872" s="15"/>
      <c r="C872" s="15"/>
      <c r="D872" s="15"/>
      <c r="E872" s="15"/>
      <c r="F872" s="16"/>
      <c r="G872" s="16"/>
      <c r="H872" s="16"/>
      <c r="I872" s="15"/>
      <c r="J872" s="15"/>
      <c r="K8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2" s="17" t="str">
        <f>IF(Tasks[[#This Row],[Task]]="","",IFERROR(VLOOKUP(IF(Tasks[[#This Row],[Effort]]="","M",Tasks[[#This Row],[Effort]]),EffortTable,2,FALSE),0))</f>
        <v/>
      </c>
      <c r="N872" t="str">
        <f>IF(Tasks[[#This Row],[Task]]="","",IFERROR(MATCH(Tasks[[#This Row],[Status]],{"Late","Blocked","Due soon"},0),9)*100000+N(Tasks[[#This Row],[Due]]))</f>
        <v/>
      </c>
      <c r="O872" t="str" cm="1">
        <f t="array" aca="1" ref="O8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2" t="str" cm="1">
        <f t="array" ref="P8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2" t="str" cm="1">
        <f t="array" ref="Q8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2" t="str" cm="1">
        <f t="array" ref="R8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3" spans="1:18" x14ac:dyDescent="0.25">
      <c r="A873" s="14" t="str" cm="1">
        <f t="array" ref="A873">IF(Tasks[[#This Row],[Task]]="","","T-"&amp;TEXT(ROW()-ROW(Tasks[#Headers]),"000"))</f>
        <v/>
      </c>
      <c r="B873" s="15"/>
      <c r="C873" s="15"/>
      <c r="D873" s="15"/>
      <c r="E873" s="15"/>
      <c r="F873" s="16"/>
      <c r="G873" s="16"/>
      <c r="H873" s="16"/>
      <c r="I873" s="15"/>
      <c r="J873" s="15"/>
      <c r="K8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3" s="17" t="str">
        <f>IF(Tasks[[#This Row],[Task]]="","",IFERROR(VLOOKUP(IF(Tasks[[#This Row],[Effort]]="","M",Tasks[[#This Row],[Effort]]),EffortTable,2,FALSE),0))</f>
        <v/>
      </c>
      <c r="N873" t="str">
        <f>IF(Tasks[[#This Row],[Task]]="","",IFERROR(MATCH(Tasks[[#This Row],[Status]],{"Late","Blocked","Due soon"},0),9)*100000+N(Tasks[[#This Row],[Due]]))</f>
        <v/>
      </c>
      <c r="O873" t="str" cm="1">
        <f t="array" aca="1" ref="O8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3" t="str" cm="1">
        <f t="array" ref="P8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3" t="str" cm="1">
        <f t="array" ref="Q8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3" t="str" cm="1">
        <f t="array" ref="R8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4" spans="1:18" x14ac:dyDescent="0.25">
      <c r="A874" s="14" t="str" cm="1">
        <f t="array" ref="A874">IF(Tasks[[#This Row],[Task]]="","","T-"&amp;TEXT(ROW()-ROW(Tasks[#Headers]),"000"))</f>
        <v/>
      </c>
      <c r="B874" s="15"/>
      <c r="C874" s="15"/>
      <c r="D874" s="15"/>
      <c r="E874" s="15"/>
      <c r="F874" s="16"/>
      <c r="G874" s="16"/>
      <c r="H874" s="16"/>
      <c r="I874" s="15"/>
      <c r="J874" s="15"/>
      <c r="K8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4" s="17" t="str">
        <f>IF(Tasks[[#This Row],[Task]]="","",IFERROR(VLOOKUP(IF(Tasks[[#This Row],[Effort]]="","M",Tasks[[#This Row],[Effort]]),EffortTable,2,FALSE),0))</f>
        <v/>
      </c>
      <c r="N874" t="str">
        <f>IF(Tasks[[#This Row],[Task]]="","",IFERROR(MATCH(Tasks[[#This Row],[Status]],{"Late","Blocked","Due soon"},0),9)*100000+N(Tasks[[#This Row],[Due]]))</f>
        <v/>
      </c>
      <c r="O874" t="str" cm="1">
        <f t="array" aca="1" ref="O8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4" t="str" cm="1">
        <f t="array" ref="P8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4" t="str" cm="1">
        <f t="array" ref="Q8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4" t="str" cm="1">
        <f t="array" ref="R8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5" spans="1:18" x14ac:dyDescent="0.25">
      <c r="A875" s="14" t="str" cm="1">
        <f t="array" ref="A875">IF(Tasks[[#This Row],[Task]]="","","T-"&amp;TEXT(ROW()-ROW(Tasks[#Headers]),"000"))</f>
        <v/>
      </c>
      <c r="B875" s="15"/>
      <c r="C875" s="15"/>
      <c r="D875" s="15"/>
      <c r="E875" s="15"/>
      <c r="F875" s="16"/>
      <c r="G875" s="16"/>
      <c r="H875" s="16"/>
      <c r="I875" s="15"/>
      <c r="J875" s="15"/>
      <c r="K8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5" s="17" t="str">
        <f>IF(Tasks[[#This Row],[Task]]="","",IFERROR(VLOOKUP(IF(Tasks[[#This Row],[Effort]]="","M",Tasks[[#This Row],[Effort]]),EffortTable,2,FALSE),0))</f>
        <v/>
      </c>
      <c r="N875" t="str">
        <f>IF(Tasks[[#This Row],[Task]]="","",IFERROR(MATCH(Tasks[[#This Row],[Status]],{"Late","Blocked","Due soon"},0),9)*100000+N(Tasks[[#This Row],[Due]]))</f>
        <v/>
      </c>
      <c r="O875" t="str" cm="1">
        <f t="array" aca="1" ref="O8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5" t="str" cm="1">
        <f t="array" ref="P8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5" t="str" cm="1">
        <f t="array" ref="Q8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5" t="str" cm="1">
        <f t="array" ref="R8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6" spans="1:18" x14ac:dyDescent="0.25">
      <c r="A876" s="14" t="str" cm="1">
        <f t="array" ref="A876">IF(Tasks[[#This Row],[Task]]="","","T-"&amp;TEXT(ROW()-ROW(Tasks[#Headers]),"000"))</f>
        <v/>
      </c>
      <c r="B876" s="15"/>
      <c r="C876" s="15"/>
      <c r="D876" s="15"/>
      <c r="E876" s="15"/>
      <c r="F876" s="16"/>
      <c r="G876" s="16"/>
      <c r="H876" s="16"/>
      <c r="I876" s="15"/>
      <c r="J876" s="15"/>
      <c r="K8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6" s="17" t="str">
        <f>IF(Tasks[[#This Row],[Task]]="","",IFERROR(VLOOKUP(IF(Tasks[[#This Row],[Effort]]="","M",Tasks[[#This Row],[Effort]]),EffortTable,2,FALSE),0))</f>
        <v/>
      </c>
      <c r="N876" t="str">
        <f>IF(Tasks[[#This Row],[Task]]="","",IFERROR(MATCH(Tasks[[#This Row],[Status]],{"Late","Blocked","Due soon"},0),9)*100000+N(Tasks[[#This Row],[Due]]))</f>
        <v/>
      </c>
      <c r="O876" t="str" cm="1">
        <f t="array" aca="1" ref="O8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6" t="str" cm="1">
        <f t="array" ref="P8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6" t="str" cm="1">
        <f t="array" ref="Q8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6" t="str" cm="1">
        <f t="array" ref="R8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7" spans="1:18" x14ac:dyDescent="0.25">
      <c r="A877" s="14" t="str" cm="1">
        <f t="array" ref="A877">IF(Tasks[[#This Row],[Task]]="","","T-"&amp;TEXT(ROW()-ROW(Tasks[#Headers]),"000"))</f>
        <v/>
      </c>
      <c r="B877" s="15"/>
      <c r="C877" s="15"/>
      <c r="D877" s="15"/>
      <c r="E877" s="15"/>
      <c r="F877" s="16"/>
      <c r="G877" s="16"/>
      <c r="H877" s="16"/>
      <c r="I877" s="15"/>
      <c r="J877" s="15"/>
      <c r="K8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7" s="17" t="str">
        <f>IF(Tasks[[#This Row],[Task]]="","",IFERROR(VLOOKUP(IF(Tasks[[#This Row],[Effort]]="","M",Tasks[[#This Row],[Effort]]),EffortTable,2,FALSE),0))</f>
        <v/>
      </c>
      <c r="N877" t="str">
        <f>IF(Tasks[[#This Row],[Task]]="","",IFERROR(MATCH(Tasks[[#This Row],[Status]],{"Late","Blocked","Due soon"},0),9)*100000+N(Tasks[[#This Row],[Due]]))</f>
        <v/>
      </c>
      <c r="O877" t="str" cm="1">
        <f t="array" aca="1" ref="O8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7" t="str" cm="1">
        <f t="array" ref="P8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7" t="str" cm="1">
        <f t="array" ref="Q8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7" t="str" cm="1">
        <f t="array" ref="R8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8" spans="1:18" x14ac:dyDescent="0.25">
      <c r="A878" s="14" t="str" cm="1">
        <f t="array" ref="A878">IF(Tasks[[#This Row],[Task]]="","","T-"&amp;TEXT(ROW()-ROW(Tasks[#Headers]),"000"))</f>
        <v/>
      </c>
      <c r="B878" s="15"/>
      <c r="C878" s="15"/>
      <c r="D878" s="15"/>
      <c r="E878" s="15"/>
      <c r="F878" s="16"/>
      <c r="G878" s="16"/>
      <c r="H878" s="16"/>
      <c r="I878" s="15"/>
      <c r="J878" s="15"/>
      <c r="K8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8" s="17" t="str">
        <f>IF(Tasks[[#This Row],[Task]]="","",IFERROR(VLOOKUP(IF(Tasks[[#This Row],[Effort]]="","M",Tasks[[#This Row],[Effort]]),EffortTable,2,FALSE),0))</f>
        <v/>
      </c>
      <c r="N878" t="str">
        <f>IF(Tasks[[#This Row],[Task]]="","",IFERROR(MATCH(Tasks[[#This Row],[Status]],{"Late","Blocked","Due soon"},0),9)*100000+N(Tasks[[#This Row],[Due]]))</f>
        <v/>
      </c>
      <c r="O878" t="str" cm="1">
        <f t="array" aca="1" ref="O8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8" t="str" cm="1">
        <f t="array" ref="P8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8" t="str" cm="1">
        <f t="array" ref="Q8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8" t="str" cm="1">
        <f t="array" ref="R8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79" spans="1:18" x14ac:dyDescent="0.25">
      <c r="A879" s="14" t="str" cm="1">
        <f t="array" ref="A879">IF(Tasks[[#This Row],[Task]]="","","T-"&amp;TEXT(ROW()-ROW(Tasks[#Headers]),"000"))</f>
        <v/>
      </c>
      <c r="B879" s="15"/>
      <c r="C879" s="15"/>
      <c r="D879" s="15"/>
      <c r="E879" s="15"/>
      <c r="F879" s="16"/>
      <c r="G879" s="16"/>
      <c r="H879" s="16"/>
      <c r="I879" s="15"/>
      <c r="J879" s="15"/>
      <c r="K8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79" s="17" t="str">
        <f>IF(Tasks[[#This Row],[Task]]="","",IFERROR(VLOOKUP(IF(Tasks[[#This Row],[Effort]]="","M",Tasks[[#This Row],[Effort]]),EffortTable,2,FALSE),0))</f>
        <v/>
      </c>
      <c r="N879" t="str">
        <f>IF(Tasks[[#This Row],[Task]]="","",IFERROR(MATCH(Tasks[[#This Row],[Status]],{"Late","Blocked","Due soon"},0),9)*100000+N(Tasks[[#This Row],[Due]]))</f>
        <v/>
      </c>
      <c r="O879" t="str" cm="1">
        <f t="array" aca="1" ref="O8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79" t="str" cm="1">
        <f t="array" ref="P8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79" t="str" cm="1">
        <f t="array" ref="Q8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79" t="str" cm="1">
        <f t="array" ref="R8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0" spans="1:18" x14ac:dyDescent="0.25">
      <c r="A880" s="14" t="str" cm="1">
        <f t="array" ref="A880">IF(Tasks[[#This Row],[Task]]="","","T-"&amp;TEXT(ROW()-ROW(Tasks[#Headers]),"000"))</f>
        <v/>
      </c>
      <c r="B880" s="15"/>
      <c r="C880" s="15"/>
      <c r="D880" s="15"/>
      <c r="E880" s="15"/>
      <c r="F880" s="16"/>
      <c r="G880" s="16"/>
      <c r="H880" s="16"/>
      <c r="I880" s="15"/>
      <c r="J880" s="15"/>
      <c r="K8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0" s="17" t="str">
        <f>IF(Tasks[[#This Row],[Task]]="","",IFERROR(VLOOKUP(IF(Tasks[[#This Row],[Effort]]="","M",Tasks[[#This Row],[Effort]]),EffortTable,2,FALSE),0))</f>
        <v/>
      </c>
      <c r="N880" t="str">
        <f>IF(Tasks[[#This Row],[Task]]="","",IFERROR(MATCH(Tasks[[#This Row],[Status]],{"Late","Blocked","Due soon"},0),9)*100000+N(Tasks[[#This Row],[Due]]))</f>
        <v/>
      </c>
      <c r="O880" t="str" cm="1">
        <f t="array" aca="1" ref="O8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0" t="str" cm="1">
        <f t="array" ref="P8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0" t="str" cm="1">
        <f t="array" ref="Q8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0" t="str" cm="1">
        <f t="array" ref="R8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1" spans="1:18" x14ac:dyDescent="0.25">
      <c r="A881" s="14" t="str" cm="1">
        <f t="array" ref="A881">IF(Tasks[[#This Row],[Task]]="","","T-"&amp;TEXT(ROW()-ROW(Tasks[#Headers]),"000"))</f>
        <v/>
      </c>
      <c r="B881" s="15"/>
      <c r="C881" s="15"/>
      <c r="D881" s="15"/>
      <c r="E881" s="15"/>
      <c r="F881" s="16"/>
      <c r="G881" s="16"/>
      <c r="H881" s="16"/>
      <c r="I881" s="15"/>
      <c r="J881" s="15"/>
      <c r="K8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1" s="17" t="str">
        <f>IF(Tasks[[#This Row],[Task]]="","",IFERROR(VLOOKUP(IF(Tasks[[#This Row],[Effort]]="","M",Tasks[[#This Row],[Effort]]),EffortTable,2,FALSE),0))</f>
        <v/>
      </c>
      <c r="N881" t="str">
        <f>IF(Tasks[[#This Row],[Task]]="","",IFERROR(MATCH(Tasks[[#This Row],[Status]],{"Late","Blocked","Due soon"},0),9)*100000+N(Tasks[[#This Row],[Due]]))</f>
        <v/>
      </c>
      <c r="O881" t="str" cm="1">
        <f t="array" aca="1" ref="O8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1" t="str" cm="1">
        <f t="array" ref="P8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1" t="str" cm="1">
        <f t="array" ref="Q8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1" t="str" cm="1">
        <f t="array" ref="R8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2" spans="1:18" x14ac:dyDescent="0.25">
      <c r="A882" s="14" t="str" cm="1">
        <f t="array" ref="A882">IF(Tasks[[#This Row],[Task]]="","","T-"&amp;TEXT(ROW()-ROW(Tasks[#Headers]),"000"))</f>
        <v/>
      </c>
      <c r="B882" s="15"/>
      <c r="C882" s="15"/>
      <c r="D882" s="15"/>
      <c r="E882" s="15"/>
      <c r="F882" s="16"/>
      <c r="G882" s="16"/>
      <c r="H882" s="16"/>
      <c r="I882" s="15"/>
      <c r="J882" s="15"/>
      <c r="K8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2" s="17" t="str">
        <f>IF(Tasks[[#This Row],[Task]]="","",IFERROR(VLOOKUP(IF(Tasks[[#This Row],[Effort]]="","M",Tasks[[#This Row],[Effort]]),EffortTable,2,FALSE),0))</f>
        <v/>
      </c>
      <c r="N882" t="str">
        <f>IF(Tasks[[#This Row],[Task]]="","",IFERROR(MATCH(Tasks[[#This Row],[Status]],{"Late","Blocked","Due soon"},0),9)*100000+N(Tasks[[#This Row],[Due]]))</f>
        <v/>
      </c>
      <c r="O882" t="str" cm="1">
        <f t="array" aca="1" ref="O8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2" t="str" cm="1">
        <f t="array" ref="P8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2" t="str" cm="1">
        <f t="array" ref="Q8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2" t="str" cm="1">
        <f t="array" ref="R8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3" spans="1:18" x14ac:dyDescent="0.25">
      <c r="A883" s="14" t="str" cm="1">
        <f t="array" ref="A883">IF(Tasks[[#This Row],[Task]]="","","T-"&amp;TEXT(ROW()-ROW(Tasks[#Headers]),"000"))</f>
        <v/>
      </c>
      <c r="B883" s="15"/>
      <c r="C883" s="15"/>
      <c r="D883" s="15"/>
      <c r="E883" s="15"/>
      <c r="F883" s="16"/>
      <c r="G883" s="16"/>
      <c r="H883" s="16"/>
      <c r="I883" s="15"/>
      <c r="J883" s="15"/>
      <c r="K8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3" s="17" t="str">
        <f>IF(Tasks[[#This Row],[Task]]="","",IFERROR(VLOOKUP(IF(Tasks[[#This Row],[Effort]]="","M",Tasks[[#This Row],[Effort]]),EffortTable,2,FALSE),0))</f>
        <v/>
      </c>
      <c r="N883" t="str">
        <f>IF(Tasks[[#This Row],[Task]]="","",IFERROR(MATCH(Tasks[[#This Row],[Status]],{"Late","Blocked","Due soon"},0),9)*100000+N(Tasks[[#This Row],[Due]]))</f>
        <v/>
      </c>
      <c r="O883" t="str" cm="1">
        <f t="array" aca="1" ref="O8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3" t="str" cm="1">
        <f t="array" ref="P8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3" t="str" cm="1">
        <f t="array" ref="Q8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3" t="str" cm="1">
        <f t="array" ref="R8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4" spans="1:18" x14ac:dyDescent="0.25">
      <c r="A884" s="14" t="str" cm="1">
        <f t="array" ref="A884">IF(Tasks[[#This Row],[Task]]="","","T-"&amp;TEXT(ROW()-ROW(Tasks[#Headers]),"000"))</f>
        <v/>
      </c>
      <c r="B884" s="15"/>
      <c r="C884" s="15"/>
      <c r="D884" s="15"/>
      <c r="E884" s="15"/>
      <c r="F884" s="16"/>
      <c r="G884" s="16"/>
      <c r="H884" s="16"/>
      <c r="I884" s="15"/>
      <c r="J884" s="15"/>
      <c r="K8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4" s="17" t="str">
        <f>IF(Tasks[[#This Row],[Task]]="","",IFERROR(VLOOKUP(IF(Tasks[[#This Row],[Effort]]="","M",Tasks[[#This Row],[Effort]]),EffortTable,2,FALSE),0))</f>
        <v/>
      </c>
      <c r="N884" t="str">
        <f>IF(Tasks[[#This Row],[Task]]="","",IFERROR(MATCH(Tasks[[#This Row],[Status]],{"Late","Blocked","Due soon"},0),9)*100000+N(Tasks[[#This Row],[Due]]))</f>
        <v/>
      </c>
      <c r="O884" t="str" cm="1">
        <f t="array" aca="1" ref="O8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4" t="str" cm="1">
        <f t="array" ref="P8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4" t="str" cm="1">
        <f t="array" ref="Q8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4" t="str" cm="1">
        <f t="array" ref="R8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5" spans="1:18" x14ac:dyDescent="0.25">
      <c r="A885" s="14" t="str" cm="1">
        <f t="array" ref="A885">IF(Tasks[[#This Row],[Task]]="","","T-"&amp;TEXT(ROW()-ROW(Tasks[#Headers]),"000"))</f>
        <v/>
      </c>
      <c r="B885" s="15"/>
      <c r="C885" s="15"/>
      <c r="D885" s="15"/>
      <c r="E885" s="15"/>
      <c r="F885" s="16"/>
      <c r="G885" s="16"/>
      <c r="H885" s="16"/>
      <c r="I885" s="15"/>
      <c r="J885" s="15"/>
      <c r="K8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5" s="17" t="str">
        <f>IF(Tasks[[#This Row],[Task]]="","",IFERROR(VLOOKUP(IF(Tasks[[#This Row],[Effort]]="","M",Tasks[[#This Row],[Effort]]),EffortTable,2,FALSE),0))</f>
        <v/>
      </c>
      <c r="N885" t="str">
        <f>IF(Tasks[[#This Row],[Task]]="","",IFERROR(MATCH(Tasks[[#This Row],[Status]],{"Late","Blocked","Due soon"},0),9)*100000+N(Tasks[[#This Row],[Due]]))</f>
        <v/>
      </c>
      <c r="O885" t="str" cm="1">
        <f t="array" aca="1" ref="O8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5" t="str" cm="1">
        <f t="array" ref="P8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5" t="str" cm="1">
        <f t="array" ref="Q8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5" t="str" cm="1">
        <f t="array" ref="R8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6" spans="1:18" x14ac:dyDescent="0.25">
      <c r="A886" s="14" t="str" cm="1">
        <f t="array" ref="A886">IF(Tasks[[#This Row],[Task]]="","","T-"&amp;TEXT(ROW()-ROW(Tasks[#Headers]),"000"))</f>
        <v/>
      </c>
      <c r="B886" s="15"/>
      <c r="C886" s="15"/>
      <c r="D886" s="15"/>
      <c r="E886" s="15"/>
      <c r="F886" s="16"/>
      <c r="G886" s="16"/>
      <c r="H886" s="16"/>
      <c r="I886" s="15"/>
      <c r="J886" s="15"/>
      <c r="K8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6" s="17" t="str">
        <f>IF(Tasks[[#This Row],[Task]]="","",IFERROR(VLOOKUP(IF(Tasks[[#This Row],[Effort]]="","M",Tasks[[#This Row],[Effort]]),EffortTable,2,FALSE),0))</f>
        <v/>
      </c>
      <c r="N886" t="str">
        <f>IF(Tasks[[#This Row],[Task]]="","",IFERROR(MATCH(Tasks[[#This Row],[Status]],{"Late","Blocked","Due soon"},0),9)*100000+N(Tasks[[#This Row],[Due]]))</f>
        <v/>
      </c>
      <c r="O886" t="str" cm="1">
        <f t="array" aca="1" ref="O8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6" t="str" cm="1">
        <f t="array" ref="P8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6" t="str" cm="1">
        <f t="array" ref="Q8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6" t="str" cm="1">
        <f t="array" ref="R8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7" spans="1:18" x14ac:dyDescent="0.25">
      <c r="A887" s="14" t="str" cm="1">
        <f t="array" ref="A887">IF(Tasks[[#This Row],[Task]]="","","T-"&amp;TEXT(ROW()-ROW(Tasks[#Headers]),"000"))</f>
        <v/>
      </c>
      <c r="B887" s="15"/>
      <c r="C887" s="15"/>
      <c r="D887" s="15"/>
      <c r="E887" s="15"/>
      <c r="F887" s="16"/>
      <c r="G887" s="16"/>
      <c r="H887" s="16"/>
      <c r="I887" s="15"/>
      <c r="J887" s="15"/>
      <c r="K8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7" s="17" t="str">
        <f>IF(Tasks[[#This Row],[Task]]="","",IFERROR(VLOOKUP(IF(Tasks[[#This Row],[Effort]]="","M",Tasks[[#This Row],[Effort]]),EffortTable,2,FALSE),0))</f>
        <v/>
      </c>
      <c r="N887" t="str">
        <f>IF(Tasks[[#This Row],[Task]]="","",IFERROR(MATCH(Tasks[[#This Row],[Status]],{"Late","Blocked","Due soon"},0),9)*100000+N(Tasks[[#This Row],[Due]]))</f>
        <v/>
      </c>
      <c r="O887" t="str" cm="1">
        <f t="array" aca="1" ref="O8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7" t="str" cm="1">
        <f t="array" ref="P8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7" t="str" cm="1">
        <f t="array" ref="Q8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7" t="str" cm="1">
        <f t="array" ref="R8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8" spans="1:18" x14ac:dyDescent="0.25">
      <c r="A888" s="14" t="str" cm="1">
        <f t="array" ref="A888">IF(Tasks[[#This Row],[Task]]="","","T-"&amp;TEXT(ROW()-ROW(Tasks[#Headers]),"000"))</f>
        <v/>
      </c>
      <c r="B888" s="15"/>
      <c r="C888" s="15"/>
      <c r="D888" s="15"/>
      <c r="E888" s="15"/>
      <c r="F888" s="16"/>
      <c r="G888" s="16"/>
      <c r="H888" s="16"/>
      <c r="I888" s="15"/>
      <c r="J888" s="15"/>
      <c r="K8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8" s="17" t="str">
        <f>IF(Tasks[[#This Row],[Task]]="","",IFERROR(VLOOKUP(IF(Tasks[[#This Row],[Effort]]="","M",Tasks[[#This Row],[Effort]]),EffortTable,2,FALSE),0))</f>
        <v/>
      </c>
      <c r="N888" t="str">
        <f>IF(Tasks[[#This Row],[Task]]="","",IFERROR(MATCH(Tasks[[#This Row],[Status]],{"Late","Blocked","Due soon"},0),9)*100000+N(Tasks[[#This Row],[Due]]))</f>
        <v/>
      </c>
      <c r="O888" t="str" cm="1">
        <f t="array" aca="1" ref="O8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8" t="str" cm="1">
        <f t="array" ref="P8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8" t="str" cm="1">
        <f t="array" ref="Q8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8" t="str" cm="1">
        <f t="array" ref="R8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89" spans="1:18" x14ac:dyDescent="0.25">
      <c r="A889" s="14" t="str" cm="1">
        <f t="array" ref="A889">IF(Tasks[[#This Row],[Task]]="","","T-"&amp;TEXT(ROW()-ROW(Tasks[#Headers]),"000"))</f>
        <v/>
      </c>
      <c r="B889" s="15"/>
      <c r="C889" s="15"/>
      <c r="D889" s="15"/>
      <c r="E889" s="15"/>
      <c r="F889" s="16"/>
      <c r="G889" s="16"/>
      <c r="H889" s="16"/>
      <c r="I889" s="15"/>
      <c r="J889" s="15"/>
      <c r="K8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89" s="17" t="str">
        <f>IF(Tasks[[#This Row],[Task]]="","",IFERROR(VLOOKUP(IF(Tasks[[#This Row],[Effort]]="","M",Tasks[[#This Row],[Effort]]),EffortTable,2,FALSE),0))</f>
        <v/>
      </c>
      <c r="N889" t="str">
        <f>IF(Tasks[[#This Row],[Task]]="","",IFERROR(MATCH(Tasks[[#This Row],[Status]],{"Late","Blocked","Due soon"},0),9)*100000+N(Tasks[[#This Row],[Due]]))</f>
        <v/>
      </c>
      <c r="O889" t="str" cm="1">
        <f t="array" aca="1" ref="O8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89" t="str" cm="1">
        <f t="array" ref="P8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89" t="str" cm="1">
        <f t="array" ref="Q8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89" t="str" cm="1">
        <f t="array" ref="R8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0" spans="1:18" x14ac:dyDescent="0.25">
      <c r="A890" s="14" t="str" cm="1">
        <f t="array" ref="A890">IF(Tasks[[#This Row],[Task]]="","","T-"&amp;TEXT(ROW()-ROW(Tasks[#Headers]),"000"))</f>
        <v/>
      </c>
      <c r="B890" s="15"/>
      <c r="C890" s="15"/>
      <c r="D890" s="15"/>
      <c r="E890" s="15"/>
      <c r="F890" s="16"/>
      <c r="G890" s="16"/>
      <c r="H890" s="16"/>
      <c r="I890" s="15"/>
      <c r="J890" s="15"/>
      <c r="K8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0" s="17" t="str">
        <f>IF(Tasks[[#This Row],[Task]]="","",IFERROR(VLOOKUP(IF(Tasks[[#This Row],[Effort]]="","M",Tasks[[#This Row],[Effort]]),EffortTable,2,FALSE),0))</f>
        <v/>
      </c>
      <c r="N890" t="str">
        <f>IF(Tasks[[#This Row],[Task]]="","",IFERROR(MATCH(Tasks[[#This Row],[Status]],{"Late","Blocked","Due soon"},0),9)*100000+N(Tasks[[#This Row],[Due]]))</f>
        <v/>
      </c>
      <c r="O890" t="str" cm="1">
        <f t="array" aca="1" ref="O8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0" t="str" cm="1">
        <f t="array" ref="P8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0" t="str" cm="1">
        <f t="array" ref="Q8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0" t="str" cm="1">
        <f t="array" ref="R8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1" spans="1:18" x14ac:dyDescent="0.25">
      <c r="A891" s="14" t="str" cm="1">
        <f t="array" ref="A891">IF(Tasks[[#This Row],[Task]]="","","T-"&amp;TEXT(ROW()-ROW(Tasks[#Headers]),"000"))</f>
        <v/>
      </c>
      <c r="B891" s="15"/>
      <c r="C891" s="15"/>
      <c r="D891" s="15"/>
      <c r="E891" s="15"/>
      <c r="F891" s="16"/>
      <c r="G891" s="16"/>
      <c r="H891" s="16"/>
      <c r="I891" s="15"/>
      <c r="J891" s="15"/>
      <c r="K8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1" s="17" t="str">
        <f>IF(Tasks[[#This Row],[Task]]="","",IFERROR(VLOOKUP(IF(Tasks[[#This Row],[Effort]]="","M",Tasks[[#This Row],[Effort]]),EffortTable,2,FALSE),0))</f>
        <v/>
      </c>
      <c r="N891" t="str">
        <f>IF(Tasks[[#This Row],[Task]]="","",IFERROR(MATCH(Tasks[[#This Row],[Status]],{"Late","Blocked","Due soon"},0),9)*100000+N(Tasks[[#This Row],[Due]]))</f>
        <v/>
      </c>
      <c r="O891" t="str" cm="1">
        <f t="array" aca="1" ref="O8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1" t="str" cm="1">
        <f t="array" ref="P8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1" t="str" cm="1">
        <f t="array" ref="Q8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1" t="str" cm="1">
        <f t="array" ref="R8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2" spans="1:18" x14ac:dyDescent="0.25">
      <c r="A892" s="14" t="str" cm="1">
        <f t="array" ref="A892">IF(Tasks[[#This Row],[Task]]="","","T-"&amp;TEXT(ROW()-ROW(Tasks[#Headers]),"000"))</f>
        <v/>
      </c>
      <c r="B892" s="15"/>
      <c r="C892" s="15"/>
      <c r="D892" s="15"/>
      <c r="E892" s="15"/>
      <c r="F892" s="16"/>
      <c r="G892" s="16"/>
      <c r="H892" s="16"/>
      <c r="I892" s="15"/>
      <c r="J892" s="15"/>
      <c r="K8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2" s="17" t="str">
        <f>IF(Tasks[[#This Row],[Task]]="","",IFERROR(VLOOKUP(IF(Tasks[[#This Row],[Effort]]="","M",Tasks[[#This Row],[Effort]]),EffortTable,2,FALSE),0))</f>
        <v/>
      </c>
      <c r="N892" t="str">
        <f>IF(Tasks[[#This Row],[Task]]="","",IFERROR(MATCH(Tasks[[#This Row],[Status]],{"Late","Blocked","Due soon"},0),9)*100000+N(Tasks[[#This Row],[Due]]))</f>
        <v/>
      </c>
      <c r="O892" t="str" cm="1">
        <f t="array" aca="1" ref="O8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2" t="str" cm="1">
        <f t="array" ref="P8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2" t="str" cm="1">
        <f t="array" ref="Q8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2" t="str" cm="1">
        <f t="array" ref="R8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3" spans="1:18" x14ac:dyDescent="0.25">
      <c r="A893" s="14" t="str" cm="1">
        <f t="array" ref="A893">IF(Tasks[[#This Row],[Task]]="","","T-"&amp;TEXT(ROW()-ROW(Tasks[#Headers]),"000"))</f>
        <v/>
      </c>
      <c r="B893" s="15"/>
      <c r="C893" s="15"/>
      <c r="D893" s="15"/>
      <c r="E893" s="15"/>
      <c r="F893" s="16"/>
      <c r="G893" s="16"/>
      <c r="H893" s="16"/>
      <c r="I893" s="15"/>
      <c r="J893" s="15"/>
      <c r="K8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3" s="17" t="str">
        <f>IF(Tasks[[#This Row],[Task]]="","",IFERROR(VLOOKUP(IF(Tasks[[#This Row],[Effort]]="","M",Tasks[[#This Row],[Effort]]),EffortTable,2,FALSE),0))</f>
        <v/>
      </c>
      <c r="N893" t="str">
        <f>IF(Tasks[[#This Row],[Task]]="","",IFERROR(MATCH(Tasks[[#This Row],[Status]],{"Late","Blocked","Due soon"},0),9)*100000+N(Tasks[[#This Row],[Due]]))</f>
        <v/>
      </c>
      <c r="O893" t="str" cm="1">
        <f t="array" aca="1" ref="O8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3" t="str" cm="1">
        <f t="array" ref="P8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3" t="str" cm="1">
        <f t="array" ref="Q8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3" t="str" cm="1">
        <f t="array" ref="R8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4" spans="1:18" x14ac:dyDescent="0.25">
      <c r="A894" s="14" t="str" cm="1">
        <f t="array" ref="A894">IF(Tasks[[#This Row],[Task]]="","","T-"&amp;TEXT(ROW()-ROW(Tasks[#Headers]),"000"))</f>
        <v/>
      </c>
      <c r="B894" s="15"/>
      <c r="C894" s="15"/>
      <c r="D894" s="15"/>
      <c r="E894" s="15"/>
      <c r="F894" s="16"/>
      <c r="G894" s="16"/>
      <c r="H894" s="16"/>
      <c r="I894" s="15"/>
      <c r="J894" s="15"/>
      <c r="K8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4" s="17" t="str">
        <f>IF(Tasks[[#This Row],[Task]]="","",IFERROR(VLOOKUP(IF(Tasks[[#This Row],[Effort]]="","M",Tasks[[#This Row],[Effort]]),EffortTable,2,FALSE),0))</f>
        <v/>
      </c>
      <c r="N894" t="str">
        <f>IF(Tasks[[#This Row],[Task]]="","",IFERROR(MATCH(Tasks[[#This Row],[Status]],{"Late","Blocked","Due soon"},0),9)*100000+N(Tasks[[#This Row],[Due]]))</f>
        <v/>
      </c>
      <c r="O894" t="str" cm="1">
        <f t="array" aca="1" ref="O8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4" t="str" cm="1">
        <f t="array" ref="P8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4" t="str" cm="1">
        <f t="array" ref="Q8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4" t="str" cm="1">
        <f t="array" ref="R8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5" spans="1:18" x14ac:dyDescent="0.25">
      <c r="A895" s="14" t="str" cm="1">
        <f t="array" ref="A895">IF(Tasks[[#This Row],[Task]]="","","T-"&amp;TEXT(ROW()-ROW(Tasks[#Headers]),"000"))</f>
        <v/>
      </c>
      <c r="B895" s="15"/>
      <c r="C895" s="15"/>
      <c r="D895" s="15"/>
      <c r="E895" s="15"/>
      <c r="F895" s="16"/>
      <c r="G895" s="16"/>
      <c r="H895" s="16"/>
      <c r="I895" s="15"/>
      <c r="J895" s="15"/>
      <c r="K8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5" s="17" t="str">
        <f>IF(Tasks[[#This Row],[Task]]="","",IFERROR(VLOOKUP(IF(Tasks[[#This Row],[Effort]]="","M",Tasks[[#This Row],[Effort]]),EffortTable,2,FALSE),0))</f>
        <v/>
      </c>
      <c r="N895" t="str">
        <f>IF(Tasks[[#This Row],[Task]]="","",IFERROR(MATCH(Tasks[[#This Row],[Status]],{"Late","Blocked","Due soon"},0),9)*100000+N(Tasks[[#This Row],[Due]]))</f>
        <v/>
      </c>
      <c r="O895" t="str" cm="1">
        <f t="array" aca="1" ref="O8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5" t="str" cm="1">
        <f t="array" ref="P8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5" t="str" cm="1">
        <f t="array" ref="Q8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5" t="str" cm="1">
        <f t="array" ref="R8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6" spans="1:18" x14ac:dyDescent="0.25">
      <c r="A896" s="14" t="str" cm="1">
        <f t="array" ref="A896">IF(Tasks[[#This Row],[Task]]="","","T-"&amp;TEXT(ROW()-ROW(Tasks[#Headers]),"000"))</f>
        <v/>
      </c>
      <c r="B896" s="15"/>
      <c r="C896" s="15"/>
      <c r="D896" s="15"/>
      <c r="E896" s="15"/>
      <c r="F896" s="16"/>
      <c r="G896" s="16"/>
      <c r="H896" s="16"/>
      <c r="I896" s="15"/>
      <c r="J896" s="15"/>
      <c r="K8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6" s="17" t="str">
        <f>IF(Tasks[[#This Row],[Task]]="","",IFERROR(VLOOKUP(IF(Tasks[[#This Row],[Effort]]="","M",Tasks[[#This Row],[Effort]]),EffortTable,2,FALSE),0))</f>
        <v/>
      </c>
      <c r="N896" t="str">
        <f>IF(Tasks[[#This Row],[Task]]="","",IFERROR(MATCH(Tasks[[#This Row],[Status]],{"Late","Blocked","Due soon"},0),9)*100000+N(Tasks[[#This Row],[Due]]))</f>
        <v/>
      </c>
      <c r="O896" t="str" cm="1">
        <f t="array" aca="1" ref="O8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6" t="str" cm="1">
        <f t="array" ref="P8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6" t="str" cm="1">
        <f t="array" ref="Q8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6" t="str" cm="1">
        <f t="array" ref="R8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7" spans="1:18" x14ac:dyDescent="0.25">
      <c r="A897" s="14" t="str" cm="1">
        <f t="array" ref="A897">IF(Tasks[[#This Row],[Task]]="","","T-"&amp;TEXT(ROW()-ROW(Tasks[#Headers]),"000"))</f>
        <v/>
      </c>
      <c r="B897" s="15"/>
      <c r="C897" s="15"/>
      <c r="D897" s="15"/>
      <c r="E897" s="15"/>
      <c r="F897" s="16"/>
      <c r="G897" s="16"/>
      <c r="H897" s="16"/>
      <c r="I897" s="15"/>
      <c r="J897" s="15"/>
      <c r="K8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7" s="17" t="str">
        <f>IF(Tasks[[#This Row],[Task]]="","",IFERROR(VLOOKUP(IF(Tasks[[#This Row],[Effort]]="","M",Tasks[[#This Row],[Effort]]),EffortTable,2,FALSE),0))</f>
        <v/>
      </c>
      <c r="N897" t="str">
        <f>IF(Tasks[[#This Row],[Task]]="","",IFERROR(MATCH(Tasks[[#This Row],[Status]],{"Late","Blocked","Due soon"},0),9)*100000+N(Tasks[[#This Row],[Due]]))</f>
        <v/>
      </c>
      <c r="O897" t="str" cm="1">
        <f t="array" aca="1" ref="O8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7" t="str" cm="1">
        <f t="array" ref="P8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7" t="str" cm="1">
        <f t="array" ref="Q8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7" t="str" cm="1">
        <f t="array" ref="R8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8" spans="1:18" x14ac:dyDescent="0.25">
      <c r="A898" s="14" t="str" cm="1">
        <f t="array" ref="A898">IF(Tasks[[#This Row],[Task]]="","","T-"&amp;TEXT(ROW()-ROW(Tasks[#Headers]),"000"))</f>
        <v/>
      </c>
      <c r="B898" s="15"/>
      <c r="C898" s="15"/>
      <c r="D898" s="15"/>
      <c r="E898" s="15"/>
      <c r="F898" s="16"/>
      <c r="G898" s="16"/>
      <c r="H898" s="16"/>
      <c r="I898" s="15"/>
      <c r="J898" s="15"/>
      <c r="K8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8" s="17" t="str">
        <f>IF(Tasks[[#This Row],[Task]]="","",IFERROR(VLOOKUP(IF(Tasks[[#This Row],[Effort]]="","M",Tasks[[#This Row],[Effort]]),EffortTable,2,FALSE),0))</f>
        <v/>
      </c>
      <c r="N898" t="str">
        <f>IF(Tasks[[#This Row],[Task]]="","",IFERROR(MATCH(Tasks[[#This Row],[Status]],{"Late","Blocked","Due soon"},0),9)*100000+N(Tasks[[#This Row],[Due]]))</f>
        <v/>
      </c>
      <c r="O898" t="str" cm="1">
        <f t="array" aca="1" ref="O8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8" t="str" cm="1">
        <f t="array" ref="P8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8" t="str" cm="1">
        <f t="array" ref="Q8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8" t="str" cm="1">
        <f t="array" ref="R8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899" spans="1:18" x14ac:dyDescent="0.25">
      <c r="A899" s="14" t="str" cm="1">
        <f t="array" ref="A899">IF(Tasks[[#This Row],[Task]]="","","T-"&amp;TEXT(ROW()-ROW(Tasks[#Headers]),"000"))</f>
        <v/>
      </c>
      <c r="B899" s="15"/>
      <c r="C899" s="15"/>
      <c r="D899" s="15"/>
      <c r="E899" s="15"/>
      <c r="F899" s="16"/>
      <c r="G899" s="16"/>
      <c r="H899" s="16"/>
      <c r="I899" s="15"/>
      <c r="J899" s="15"/>
      <c r="K8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8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899" s="17" t="str">
        <f>IF(Tasks[[#This Row],[Task]]="","",IFERROR(VLOOKUP(IF(Tasks[[#This Row],[Effort]]="","M",Tasks[[#This Row],[Effort]]),EffortTable,2,FALSE),0))</f>
        <v/>
      </c>
      <c r="N899" t="str">
        <f>IF(Tasks[[#This Row],[Task]]="","",IFERROR(MATCH(Tasks[[#This Row],[Status]],{"Late","Blocked","Due soon"},0),9)*100000+N(Tasks[[#This Row],[Due]]))</f>
        <v/>
      </c>
      <c r="O899" t="str" cm="1">
        <f t="array" aca="1" ref="O8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899" t="str" cm="1">
        <f t="array" ref="P8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899" t="str" cm="1">
        <f t="array" ref="Q8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899" t="str" cm="1">
        <f t="array" ref="R8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0" spans="1:18" x14ac:dyDescent="0.25">
      <c r="A900" s="14" t="str" cm="1">
        <f t="array" ref="A900">IF(Tasks[[#This Row],[Task]]="","","T-"&amp;TEXT(ROW()-ROW(Tasks[#Headers]),"000"))</f>
        <v/>
      </c>
      <c r="B900" s="15"/>
      <c r="C900" s="15"/>
      <c r="D900" s="15"/>
      <c r="E900" s="15"/>
      <c r="F900" s="16"/>
      <c r="G900" s="16"/>
      <c r="H900" s="16"/>
      <c r="I900" s="15"/>
      <c r="J900" s="15"/>
      <c r="K9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0" s="17" t="str">
        <f>IF(Tasks[[#This Row],[Task]]="","",IFERROR(VLOOKUP(IF(Tasks[[#This Row],[Effort]]="","M",Tasks[[#This Row],[Effort]]),EffortTable,2,FALSE),0))</f>
        <v/>
      </c>
      <c r="N900" t="str">
        <f>IF(Tasks[[#This Row],[Task]]="","",IFERROR(MATCH(Tasks[[#This Row],[Status]],{"Late","Blocked","Due soon"},0),9)*100000+N(Tasks[[#This Row],[Due]]))</f>
        <v/>
      </c>
      <c r="O900" t="str" cm="1">
        <f t="array" aca="1" ref="O9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0" t="str" cm="1">
        <f t="array" ref="P9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0" t="str" cm="1">
        <f t="array" ref="Q9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0" t="str" cm="1">
        <f t="array" ref="R9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1" spans="1:18" x14ac:dyDescent="0.25">
      <c r="A901" s="14" t="str" cm="1">
        <f t="array" ref="A901">IF(Tasks[[#This Row],[Task]]="","","T-"&amp;TEXT(ROW()-ROW(Tasks[#Headers]),"000"))</f>
        <v/>
      </c>
      <c r="B901" s="15"/>
      <c r="C901" s="15"/>
      <c r="D901" s="15"/>
      <c r="E901" s="15"/>
      <c r="F901" s="16"/>
      <c r="G901" s="16"/>
      <c r="H901" s="16"/>
      <c r="I901" s="15"/>
      <c r="J901" s="15"/>
      <c r="K9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1" s="17" t="str">
        <f>IF(Tasks[[#This Row],[Task]]="","",IFERROR(VLOOKUP(IF(Tasks[[#This Row],[Effort]]="","M",Tasks[[#This Row],[Effort]]),EffortTable,2,FALSE),0))</f>
        <v/>
      </c>
      <c r="N901" t="str">
        <f>IF(Tasks[[#This Row],[Task]]="","",IFERROR(MATCH(Tasks[[#This Row],[Status]],{"Late","Blocked","Due soon"},0),9)*100000+N(Tasks[[#This Row],[Due]]))</f>
        <v/>
      </c>
      <c r="O901" t="str" cm="1">
        <f t="array" aca="1" ref="O9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1" t="str" cm="1">
        <f t="array" ref="P9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1" t="str" cm="1">
        <f t="array" ref="Q9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1" t="str" cm="1">
        <f t="array" ref="R9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2" spans="1:18" x14ac:dyDescent="0.25">
      <c r="A902" s="14" t="str" cm="1">
        <f t="array" ref="A902">IF(Tasks[[#This Row],[Task]]="","","T-"&amp;TEXT(ROW()-ROW(Tasks[#Headers]),"000"))</f>
        <v/>
      </c>
      <c r="B902" s="15"/>
      <c r="C902" s="15"/>
      <c r="D902" s="15"/>
      <c r="E902" s="15"/>
      <c r="F902" s="16"/>
      <c r="G902" s="16"/>
      <c r="H902" s="16"/>
      <c r="I902" s="15"/>
      <c r="J902" s="15"/>
      <c r="K9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2" s="17" t="str">
        <f>IF(Tasks[[#This Row],[Task]]="","",IFERROR(VLOOKUP(IF(Tasks[[#This Row],[Effort]]="","M",Tasks[[#This Row],[Effort]]),EffortTable,2,FALSE),0))</f>
        <v/>
      </c>
      <c r="N902" t="str">
        <f>IF(Tasks[[#This Row],[Task]]="","",IFERROR(MATCH(Tasks[[#This Row],[Status]],{"Late","Blocked","Due soon"},0),9)*100000+N(Tasks[[#This Row],[Due]]))</f>
        <v/>
      </c>
      <c r="O902" t="str" cm="1">
        <f t="array" aca="1" ref="O9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2" t="str" cm="1">
        <f t="array" ref="P9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2" t="str" cm="1">
        <f t="array" ref="Q9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2" t="str" cm="1">
        <f t="array" ref="R9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3" spans="1:18" x14ac:dyDescent="0.25">
      <c r="A903" s="14" t="str" cm="1">
        <f t="array" ref="A903">IF(Tasks[[#This Row],[Task]]="","","T-"&amp;TEXT(ROW()-ROW(Tasks[#Headers]),"000"))</f>
        <v/>
      </c>
      <c r="B903" s="15"/>
      <c r="C903" s="15"/>
      <c r="D903" s="15"/>
      <c r="E903" s="15"/>
      <c r="F903" s="16"/>
      <c r="G903" s="16"/>
      <c r="H903" s="16"/>
      <c r="I903" s="15"/>
      <c r="J903" s="15"/>
      <c r="K9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3" s="17" t="str">
        <f>IF(Tasks[[#This Row],[Task]]="","",IFERROR(VLOOKUP(IF(Tasks[[#This Row],[Effort]]="","M",Tasks[[#This Row],[Effort]]),EffortTable,2,FALSE),0))</f>
        <v/>
      </c>
      <c r="N903" t="str">
        <f>IF(Tasks[[#This Row],[Task]]="","",IFERROR(MATCH(Tasks[[#This Row],[Status]],{"Late","Blocked","Due soon"},0),9)*100000+N(Tasks[[#This Row],[Due]]))</f>
        <v/>
      </c>
      <c r="O903" t="str" cm="1">
        <f t="array" aca="1" ref="O9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3" t="str" cm="1">
        <f t="array" ref="P9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3" t="str" cm="1">
        <f t="array" ref="Q9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3" t="str" cm="1">
        <f t="array" ref="R9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4" spans="1:18" x14ac:dyDescent="0.25">
      <c r="A904" s="14" t="str" cm="1">
        <f t="array" ref="A904">IF(Tasks[[#This Row],[Task]]="","","T-"&amp;TEXT(ROW()-ROW(Tasks[#Headers]),"000"))</f>
        <v/>
      </c>
      <c r="B904" s="15"/>
      <c r="C904" s="15"/>
      <c r="D904" s="15"/>
      <c r="E904" s="15"/>
      <c r="F904" s="16"/>
      <c r="G904" s="16"/>
      <c r="H904" s="16"/>
      <c r="I904" s="15"/>
      <c r="J904" s="15"/>
      <c r="K9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4" s="17" t="str">
        <f>IF(Tasks[[#This Row],[Task]]="","",IFERROR(VLOOKUP(IF(Tasks[[#This Row],[Effort]]="","M",Tasks[[#This Row],[Effort]]),EffortTable,2,FALSE),0))</f>
        <v/>
      </c>
      <c r="N904" t="str">
        <f>IF(Tasks[[#This Row],[Task]]="","",IFERROR(MATCH(Tasks[[#This Row],[Status]],{"Late","Blocked","Due soon"},0),9)*100000+N(Tasks[[#This Row],[Due]]))</f>
        <v/>
      </c>
      <c r="O904" t="str" cm="1">
        <f t="array" aca="1" ref="O9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4" t="str" cm="1">
        <f t="array" ref="P9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4" t="str" cm="1">
        <f t="array" ref="Q9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4" t="str" cm="1">
        <f t="array" ref="R9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5" spans="1:18" x14ac:dyDescent="0.25">
      <c r="A905" s="14" t="str" cm="1">
        <f t="array" ref="A905">IF(Tasks[[#This Row],[Task]]="","","T-"&amp;TEXT(ROW()-ROW(Tasks[#Headers]),"000"))</f>
        <v/>
      </c>
      <c r="B905" s="15"/>
      <c r="C905" s="15"/>
      <c r="D905" s="15"/>
      <c r="E905" s="15"/>
      <c r="F905" s="16"/>
      <c r="G905" s="16"/>
      <c r="H905" s="16"/>
      <c r="I905" s="15"/>
      <c r="J905" s="15"/>
      <c r="K90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5" s="17" t="str">
        <f>IF(Tasks[[#This Row],[Task]]="","",IFERROR(VLOOKUP(IF(Tasks[[#This Row],[Effort]]="","M",Tasks[[#This Row],[Effort]]),EffortTable,2,FALSE),0))</f>
        <v/>
      </c>
      <c r="N905" t="str">
        <f>IF(Tasks[[#This Row],[Task]]="","",IFERROR(MATCH(Tasks[[#This Row],[Status]],{"Late","Blocked","Due soon"},0),9)*100000+N(Tasks[[#This Row],[Due]]))</f>
        <v/>
      </c>
      <c r="O905" t="str" cm="1">
        <f t="array" aca="1" ref="O90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5" t="str" cm="1">
        <f t="array" ref="P90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5" t="str" cm="1">
        <f t="array" ref="Q90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5" t="str" cm="1">
        <f t="array" ref="R90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6" spans="1:18" x14ac:dyDescent="0.25">
      <c r="A906" s="14" t="str" cm="1">
        <f t="array" ref="A906">IF(Tasks[[#This Row],[Task]]="","","T-"&amp;TEXT(ROW()-ROW(Tasks[#Headers]),"000"))</f>
        <v/>
      </c>
      <c r="B906" s="15"/>
      <c r="C906" s="15"/>
      <c r="D906" s="15"/>
      <c r="E906" s="15"/>
      <c r="F906" s="16"/>
      <c r="G906" s="16"/>
      <c r="H906" s="16"/>
      <c r="I906" s="15"/>
      <c r="J906" s="15"/>
      <c r="K90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6" s="17" t="str">
        <f>IF(Tasks[[#This Row],[Task]]="","",IFERROR(VLOOKUP(IF(Tasks[[#This Row],[Effort]]="","M",Tasks[[#This Row],[Effort]]),EffortTable,2,FALSE),0))</f>
        <v/>
      </c>
      <c r="N906" t="str">
        <f>IF(Tasks[[#This Row],[Task]]="","",IFERROR(MATCH(Tasks[[#This Row],[Status]],{"Late","Blocked","Due soon"},0),9)*100000+N(Tasks[[#This Row],[Due]]))</f>
        <v/>
      </c>
      <c r="O906" t="str" cm="1">
        <f t="array" aca="1" ref="O90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6" t="str" cm="1">
        <f t="array" ref="P90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6" t="str" cm="1">
        <f t="array" ref="Q90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6" t="str" cm="1">
        <f t="array" ref="R90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7" spans="1:18" x14ac:dyDescent="0.25">
      <c r="A907" s="14" t="str" cm="1">
        <f t="array" ref="A907">IF(Tasks[[#This Row],[Task]]="","","T-"&amp;TEXT(ROW()-ROW(Tasks[#Headers]),"000"))</f>
        <v/>
      </c>
      <c r="B907" s="15"/>
      <c r="C907" s="15"/>
      <c r="D907" s="15"/>
      <c r="E907" s="15"/>
      <c r="F907" s="16"/>
      <c r="G907" s="16"/>
      <c r="H907" s="16"/>
      <c r="I907" s="15"/>
      <c r="J907" s="15"/>
      <c r="K90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7" s="17" t="str">
        <f>IF(Tasks[[#This Row],[Task]]="","",IFERROR(VLOOKUP(IF(Tasks[[#This Row],[Effort]]="","M",Tasks[[#This Row],[Effort]]),EffortTable,2,FALSE),0))</f>
        <v/>
      </c>
      <c r="N907" t="str">
        <f>IF(Tasks[[#This Row],[Task]]="","",IFERROR(MATCH(Tasks[[#This Row],[Status]],{"Late","Blocked","Due soon"},0),9)*100000+N(Tasks[[#This Row],[Due]]))</f>
        <v/>
      </c>
      <c r="O907" t="str" cm="1">
        <f t="array" aca="1" ref="O90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7" t="str" cm="1">
        <f t="array" ref="P90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7" t="str" cm="1">
        <f t="array" ref="Q90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7" t="str" cm="1">
        <f t="array" ref="R90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8" spans="1:18" x14ac:dyDescent="0.25">
      <c r="A908" s="14" t="str" cm="1">
        <f t="array" ref="A908">IF(Tasks[[#This Row],[Task]]="","","T-"&amp;TEXT(ROW()-ROW(Tasks[#Headers]),"000"))</f>
        <v/>
      </c>
      <c r="B908" s="15"/>
      <c r="C908" s="15"/>
      <c r="D908" s="15"/>
      <c r="E908" s="15"/>
      <c r="F908" s="16"/>
      <c r="G908" s="16"/>
      <c r="H908" s="16"/>
      <c r="I908" s="15"/>
      <c r="J908" s="15"/>
      <c r="K90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8" s="17" t="str">
        <f>IF(Tasks[[#This Row],[Task]]="","",IFERROR(VLOOKUP(IF(Tasks[[#This Row],[Effort]]="","M",Tasks[[#This Row],[Effort]]),EffortTable,2,FALSE),0))</f>
        <v/>
      </c>
      <c r="N908" t="str">
        <f>IF(Tasks[[#This Row],[Task]]="","",IFERROR(MATCH(Tasks[[#This Row],[Status]],{"Late","Blocked","Due soon"},0),9)*100000+N(Tasks[[#This Row],[Due]]))</f>
        <v/>
      </c>
      <c r="O908" t="str" cm="1">
        <f t="array" aca="1" ref="O90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8" t="str" cm="1">
        <f t="array" ref="P90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8" t="str" cm="1">
        <f t="array" ref="Q90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8" t="str" cm="1">
        <f t="array" ref="R90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09" spans="1:18" x14ac:dyDescent="0.25">
      <c r="A909" s="14" t="str" cm="1">
        <f t="array" ref="A909">IF(Tasks[[#This Row],[Task]]="","","T-"&amp;TEXT(ROW()-ROW(Tasks[#Headers]),"000"))</f>
        <v/>
      </c>
      <c r="B909" s="15"/>
      <c r="C909" s="15"/>
      <c r="D909" s="15"/>
      <c r="E909" s="15"/>
      <c r="F909" s="16"/>
      <c r="G909" s="16"/>
      <c r="H909" s="16"/>
      <c r="I909" s="15"/>
      <c r="J909" s="15"/>
      <c r="K90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0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09" s="17" t="str">
        <f>IF(Tasks[[#This Row],[Task]]="","",IFERROR(VLOOKUP(IF(Tasks[[#This Row],[Effort]]="","M",Tasks[[#This Row],[Effort]]),EffortTable,2,FALSE),0))</f>
        <v/>
      </c>
      <c r="N909" t="str">
        <f>IF(Tasks[[#This Row],[Task]]="","",IFERROR(MATCH(Tasks[[#This Row],[Status]],{"Late","Blocked","Due soon"},0),9)*100000+N(Tasks[[#This Row],[Due]]))</f>
        <v/>
      </c>
      <c r="O909" t="str" cm="1">
        <f t="array" aca="1" ref="O90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09" t="str" cm="1">
        <f t="array" ref="P90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09" t="str" cm="1">
        <f t="array" ref="Q90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09" t="str" cm="1">
        <f t="array" ref="R90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0" spans="1:18" x14ac:dyDescent="0.25">
      <c r="A910" s="14" t="str" cm="1">
        <f t="array" ref="A910">IF(Tasks[[#This Row],[Task]]="","","T-"&amp;TEXT(ROW()-ROW(Tasks[#Headers]),"000"))</f>
        <v/>
      </c>
      <c r="B910" s="15"/>
      <c r="C910" s="15"/>
      <c r="D910" s="15"/>
      <c r="E910" s="15"/>
      <c r="F910" s="16"/>
      <c r="G910" s="16"/>
      <c r="H910" s="16"/>
      <c r="I910" s="15"/>
      <c r="J910" s="15"/>
      <c r="K91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0" s="17" t="str">
        <f>IF(Tasks[[#This Row],[Task]]="","",IFERROR(VLOOKUP(IF(Tasks[[#This Row],[Effort]]="","M",Tasks[[#This Row],[Effort]]),EffortTable,2,FALSE),0))</f>
        <v/>
      </c>
      <c r="N910" t="str">
        <f>IF(Tasks[[#This Row],[Task]]="","",IFERROR(MATCH(Tasks[[#This Row],[Status]],{"Late","Blocked","Due soon"},0),9)*100000+N(Tasks[[#This Row],[Due]]))</f>
        <v/>
      </c>
      <c r="O910" t="str" cm="1">
        <f t="array" aca="1" ref="O91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0" t="str" cm="1">
        <f t="array" ref="P91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0" t="str" cm="1">
        <f t="array" ref="Q91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0" t="str" cm="1">
        <f t="array" ref="R91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1" spans="1:18" x14ac:dyDescent="0.25">
      <c r="A911" s="14" t="str" cm="1">
        <f t="array" ref="A911">IF(Tasks[[#This Row],[Task]]="","","T-"&amp;TEXT(ROW()-ROW(Tasks[#Headers]),"000"))</f>
        <v/>
      </c>
      <c r="B911" s="15"/>
      <c r="C911" s="15"/>
      <c r="D911" s="15"/>
      <c r="E911" s="15"/>
      <c r="F911" s="16"/>
      <c r="G911" s="16"/>
      <c r="H911" s="16"/>
      <c r="I911" s="15"/>
      <c r="J911" s="15"/>
      <c r="K91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1" s="17" t="str">
        <f>IF(Tasks[[#This Row],[Task]]="","",IFERROR(VLOOKUP(IF(Tasks[[#This Row],[Effort]]="","M",Tasks[[#This Row],[Effort]]),EffortTable,2,FALSE),0))</f>
        <v/>
      </c>
      <c r="N911" t="str">
        <f>IF(Tasks[[#This Row],[Task]]="","",IFERROR(MATCH(Tasks[[#This Row],[Status]],{"Late","Blocked","Due soon"},0),9)*100000+N(Tasks[[#This Row],[Due]]))</f>
        <v/>
      </c>
      <c r="O911" t="str" cm="1">
        <f t="array" aca="1" ref="O91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1" t="str" cm="1">
        <f t="array" ref="P91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1" t="str" cm="1">
        <f t="array" ref="Q91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1" t="str" cm="1">
        <f t="array" ref="R91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2" spans="1:18" x14ac:dyDescent="0.25">
      <c r="A912" s="14" t="str" cm="1">
        <f t="array" ref="A912">IF(Tasks[[#This Row],[Task]]="","","T-"&amp;TEXT(ROW()-ROW(Tasks[#Headers]),"000"))</f>
        <v/>
      </c>
      <c r="B912" s="15"/>
      <c r="C912" s="15"/>
      <c r="D912" s="15"/>
      <c r="E912" s="15"/>
      <c r="F912" s="16"/>
      <c r="G912" s="16"/>
      <c r="H912" s="16"/>
      <c r="I912" s="15"/>
      <c r="J912" s="15"/>
      <c r="K91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2" s="17" t="str">
        <f>IF(Tasks[[#This Row],[Task]]="","",IFERROR(VLOOKUP(IF(Tasks[[#This Row],[Effort]]="","M",Tasks[[#This Row],[Effort]]),EffortTable,2,FALSE),0))</f>
        <v/>
      </c>
      <c r="N912" t="str">
        <f>IF(Tasks[[#This Row],[Task]]="","",IFERROR(MATCH(Tasks[[#This Row],[Status]],{"Late","Blocked","Due soon"},0),9)*100000+N(Tasks[[#This Row],[Due]]))</f>
        <v/>
      </c>
      <c r="O912" t="str" cm="1">
        <f t="array" aca="1" ref="O91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2" t="str" cm="1">
        <f t="array" ref="P91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2" t="str" cm="1">
        <f t="array" ref="Q91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2" t="str" cm="1">
        <f t="array" ref="R91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3" spans="1:18" x14ac:dyDescent="0.25">
      <c r="A913" s="14" t="str" cm="1">
        <f t="array" ref="A913">IF(Tasks[[#This Row],[Task]]="","","T-"&amp;TEXT(ROW()-ROW(Tasks[#Headers]),"000"))</f>
        <v/>
      </c>
      <c r="B913" s="15"/>
      <c r="C913" s="15"/>
      <c r="D913" s="15"/>
      <c r="E913" s="15"/>
      <c r="F913" s="16"/>
      <c r="G913" s="16"/>
      <c r="H913" s="16"/>
      <c r="I913" s="15"/>
      <c r="J913" s="15"/>
      <c r="K91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3" s="17" t="str">
        <f>IF(Tasks[[#This Row],[Task]]="","",IFERROR(VLOOKUP(IF(Tasks[[#This Row],[Effort]]="","M",Tasks[[#This Row],[Effort]]),EffortTable,2,FALSE),0))</f>
        <v/>
      </c>
      <c r="N913" t="str">
        <f>IF(Tasks[[#This Row],[Task]]="","",IFERROR(MATCH(Tasks[[#This Row],[Status]],{"Late","Blocked","Due soon"},0),9)*100000+N(Tasks[[#This Row],[Due]]))</f>
        <v/>
      </c>
      <c r="O913" t="str" cm="1">
        <f t="array" aca="1" ref="O91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3" t="str" cm="1">
        <f t="array" ref="P91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3" t="str" cm="1">
        <f t="array" ref="Q91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3" t="str" cm="1">
        <f t="array" ref="R91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4" spans="1:18" x14ac:dyDescent="0.25">
      <c r="A914" s="14" t="str" cm="1">
        <f t="array" ref="A914">IF(Tasks[[#This Row],[Task]]="","","T-"&amp;TEXT(ROW()-ROW(Tasks[#Headers]),"000"))</f>
        <v/>
      </c>
      <c r="B914" s="15"/>
      <c r="C914" s="15"/>
      <c r="D914" s="15"/>
      <c r="E914" s="15"/>
      <c r="F914" s="16"/>
      <c r="G914" s="16"/>
      <c r="H914" s="16"/>
      <c r="I914" s="15"/>
      <c r="J914" s="15"/>
      <c r="K91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4" s="17" t="str">
        <f>IF(Tasks[[#This Row],[Task]]="","",IFERROR(VLOOKUP(IF(Tasks[[#This Row],[Effort]]="","M",Tasks[[#This Row],[Effort]]),EffortTable,2,FALSE),0))</f>
        <v/>
      </c>
      <c r="N914" t="str">
        <f>IF(Tasks[[#This Row],[Task]]="","",IFERROR(MATCH(Tasks[[#This Row],[Status]],{"Late","Blocked","Due soon"},0),9)*100000+N(Tasks[[#This Row],[Due]]))</f>
        <v/>
      </c>
      <c r="O914" t="str" cm="1">
        <f t="array" aca="1" ref="O91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4" t="str" cm="1">
        <f t="array" ref="P91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4" t="str" cm="1">
        <f t="array" ref="Q91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4" t="str" cm="1">
        <f t="array" ref="R91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5" spans="1:18" x14ac:dyDescent="0.25">
      <c r="A915" s="14" t="str" cm="1">
        <f t="array" ref="A915">IF(Tasks[[#This Row],[Task]]="","","T-"&amp;TEXT(ROW()-ROW(Tasks[#Headers]),"000"))</f>
        <v/>
      </c>
      <c r="B915" s="15"/>
      <c r="C915" s="15"/>
      <c r="D915" s="15"/>
      <c r="E915" s="15"/>
      <c r="F915" s="16"/>
      <c r="G915" s="16"/>
      <c r="H915" s="16"/>
      <c r="I915" s="15"/>
      <c r="J915" s="15"/>
      <c r="K91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5" s="17" t="str">
        <f>IF(Tasks[[#This Row],[Task]]="","",IFERROR(VLOOKUP(IF(Tasks[[#This Row],[Effort]]="","M",Tasks[[#This Row],[Effort]]),EffortTable,2,FALSE),0))</f>
        <v/>
      </c>
      <c r="N915" t="str">
        <f>IF(Tasks[[#This Row],[Task]]="","",IFERROR(MATCH(Tasks[[#This Row],[Status]],{"Late","Blocked","Due soon"},0),9)*100000+N(Tasks[[#This Row],[Due]]))</f>
        <v/>
      </c>
      <c r="O915" t="str" cm="1">
        <f t="array" aca="1" ref="O91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5" t="str" cm="1">
        <f t="array" ref="P91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5" t="str" cm="1">
        <f t="array" ref="Q91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5" t="str" cm="1">
        <f t="array" ref="R91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6" spans="1:18" x14ac:dyDescent="0.25">
      <c r="A916" s="14" t="str" cm="1">
        <f t="array" ref="A916">IF(Tasks[[#This Row],[Task]]="","","T-"&amp;TEXT(ROW()-ROW(Tasks[#Headers]),"000"))</f>
        <v/>
      </c>
      <c r="B916" s="15"/>
      <c r="C916" s="15"/>
      <c r="D916" s="15"/>
      <c r="E916" s="15"/>
      <c r="F916" s="16"/>
      <c r="G916" s="16"/>
      <c r="H916" s="16"/>
      <c r="I916" s="15"/>
      <c r="J916" s="15"/>
      <c r="K91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6" s="17" t="str">
        <f>IF(Tasks[[#This Row],[Task]]="","",IFERROR(VLOOKUP(IF(Tasks[[#This Row],[Effort]]="","M",Tasks[[#This Row],[Effort]]),EffortTable,2,FALSE),0))</f>
        <v/>
      </c>
      <c r="N916" t="str">
        <f>IF(Tasks[[#This Row],[Task]]="","",IFERROR(MATCH(Tasks[[#This Row],[Status]],{"Late","Blocked","Due soon"},0),9)*100000+N(Tasks[[#This Row],[Due]]))</f>
        <v/>
      </c>
      <c r="O916" t="str" cm="1">
        <f t="array" aca="1" ref="O91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6" t="str" cm="1">
        <f t="array" ref="P91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6" t="str" cm="1">
        <f t="array" ref="Q91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6" t="str" cm="1">
        <f t="array" ref="R91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7" spans="1:18" x14ac:dyDescent="0.25">
      <c r="A917" s="14" t="str" cm="1">
        <f t="array" ref="A917">IF(Tasks[[#This Row],[Task]]="","","T-"&amp;TEXT(ROW()-ROW(Tasks[#Headers]),"000"))</f>
        <v/>
      </c>
      <c r="B917" s="15"/>
      <c r="C917" s="15"/>
      <c r="D917" s="15"/>
      <c r="E917" s="15"/>
      <c r="F917" s="16"/>
      <c r="G917" s="16"/>
      <c r="H917" s="16"/>
      <c r="I917" s="15"/>
      <c r="J917" s="15"/>
      <c r="K91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7" s="17" t="str">
        <f>IF(Tasks[[#This Row],[Task]]="","",IFERROR(VLOOKUP(IF(Tasks[[#This Row],[Effort]]="","M",Tasks[[#This Row],[Effort]]),EffortTable,2,FALSE),0))</f>
        <v/>
      </c>
      <c r="N917" t="str">
        <f>IF(Tasks[[#This Row],[Task]]="","",IFERROR(MATCH(Tasks[[#This Row],[Status]],{"Late","Blocked","Due soon"},0),9)*100000+N(Tasks[[#This Row],[Due]]))</f>
        <v/>
      </c>
      <c r="O917" t="str" cm="1">
        <f t="array" aca="1" ref="O91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7" t="str" cm="1">
        <f t="array" ref="P91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7" t="str" cm="1">
        <f t="array" ref="Q91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7" t="str" cm="1">
        <f t="array" ref="R91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8" spans="1:18" x14ac:dyDescent="0.25">
      <c r="A918" s="14" t="str" cm="1">
        <f t="array" ref="A918">IF(Tasks[[#This Row],[Task]]="","","T-"&amp;TEXT(ROW()-ROW(Tasks[#Headers]),"000"))</f>
        <v/>
      </c>
      <c r="B918" s="15"/>
      <c r="C918" s="15"/>
      <c r="D918" s="15"/>
      <c r="E918" s="15"/>
      <c r="F918" s="16"/>
      <c r="G918" s="16"/>
      <c r="H918" s="16"/>
      <c r="I918" s="15"/>
      <c r="J918" s="15"/>
      <c r="K91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8" s="17" t="str">
        <f>IF(Tasks[[#This Row],[Task]]="","",IFERROR(VLOOKUP(IF(Tasks[[#This Row],[Effort]]="","M",Tasks[[#This Row],[Effort]]),EffortTable,2,FALSE),0))</f>
        <v/>
      </c>
      <c r="N918" t="str">
        <f>IF(Tasks[[#This Row],[Task]]="","",IFERROR(MATCH(Tasks[[#This Row],[Status]],{"Late","Blocked","Due soon"},0),9)*100000+N(Tasks[[#This Row],[Due]]))</f>
        <v/>
      </c>
      <c r="O918" t="str" cm="1">
        <f t="array" aca="1" ref="O91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8" t="str" cm="1">
        <f t="array" ref="P91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8" t="str" cm="1">
        <f t="array" ref="Q91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8" t="str" cm="1">
        <f t="array" ref="R91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19" spans="1:18" x14ac:dyDescent="0.25">
      <c r="A919" s="14" t="str" cm="1">
        <f t="array" ref="A919">IF(Tasks[[#This Row],[Task]]="","","T-"&amp;TEXT(ROW()-ROW(Tasks[#Headers]),"000"))</f>
        <v/>
      </c>
      <c r="B919" s="15"/>
      <c r="C919" s="15"/>
      <c r="D919" s="15"/>
      <c r="E919" s="15"/>
      <c r="F919" s="16"/>
      <c r="G919" s="16"/>
      <c r="H919" s="16"/>
      <c r="I919" s="15"/>
      <c r="J919" s="15"/>
      <c r="K91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1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19" s="17" t="str">
        <f>IF(Tasks[[#This Row],[Task]]="","",IFERROR(VLOOKUP(IF(Tasks[[#This Row],[Effort]]="","M",Tasks[[#This Row],[Effort]]),EffortTable,2,FALSE),0))</f>
        <v/>
      </c>
      <c r="N919" t="str">
        <f>IF(Tasks[[#This Row],[Task]]="","",IFERROR(MATCH(Tasks[[#This Row],[Status]],{"Late","Blocked","Due soon"},0),9)*100000+N(Tasks[[#This Row],[Due]]))</f>
        <v/>
      </c>
      <c r="O919" t="str" cm="1">
        <f t="array" aca="1" ref="O91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19" t="str" cm="1">
        <f t="array" ref="P91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19" t="str" cm="1">
        <f t="array" ref="Q91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19" t="str" cm="1">
        <f t="array" ref="R91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0" spans="1:18" x14ac:dyDescent="0.25">
      <c r="A920" s="14" t="str" cm="1">
        <f t="array" ref="A920">IF(Tasks[[#This Row],[Task]]="","","T-"&amp;TEXT(ROW()-ROW(Tasks[#Headers]),"000"))</f>
        <v/>
      </c>
      <c r="B920" s="15"/>
      <c r="C920" s="15"/>
      <c r="D920" s="15"/>
      <c r="E920" s="15"/>
      <c r="F920" s="16"/>
      <c r="G920" s="16"/>
      <c r="H920" s="16"/>
      <c r="I920" s="15"/>
      <c r="J920" s="15"/>
      <c r="K92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0" s="17" t="str">
        <f>IF(Tasks[[#This Row],[Task]]="","",IFERROR(VLOOKUP(IF(Tasks[[#This Row],[Effort]]="","M",Tasks[[#This Row],[Effort]]),EffortTable,2,FALSE),0))</f>
        <v/>
      </c>
      <c r="N920" t="str">
        <f>IF(Tasks[[#This Row],[Task]]="","",IFERROR(MATCH(Tasks[[#This Row],[Status]],{"Late","Blocked","Due soon"},0),9)*100000+N(Tasks[[#This Row],[Due]]))</f>
        <v/>
      </c>
      <c r="O920" t="str" cm="1">
        <f t="array" aca="1" ref="O92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0" t="str" cm="1">
        <f t="array" ref="P92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0" t="str" cm="1">
        <f t="array" ref="Q92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0" t="str" cm="1">
        <f t="array" ref="R92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1" spans="1:18" x14ac:dyDescent="0.25">
      <c r="A921" s="14" t="str" cm="1">
        <f t="array" ref="A921">IF(Tasks[[#This Row],[Task]]="","","T-"&amp;TEXT(ROW()-ROW(Tasks[#Headers]),"000"))</f>
        <v/>
      </c>
      <c r="B921" s="15"/>
      <c r="C921" s="15"/>
      <c r="D921" s="15"/>
      <c r="E921" s="15"/>
      <c r="F921" s="16"/>
      <c r="G921" s="16"/>
      <c r="H921" s="16"/>
      <c r="I921" s="15"/>
      <c r="J921" s="15"/>
      <c r="K92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1" s="17" t="str">
        <f>IF(Tasks[[#This Row],[Task]]="","",IFERROR(VLOOKUP(IF(Tasks[[#This Row],[Effort]]="","M",Tasks[[#This Row],[Effort]]),EffortTable,2,FALSE),0))</f>
        <v/>
      </c>
      <c r="N921" t="str">
        <f>IF(Tasks[[#This Row],[Task]]="","",IFERROR(MATCH(Tasks[[#This Row],[Status]],{"Late","Blocked","Due soon"},0),9)*100000+N(Tasks[[#This Row],[Due]]))</f>
        <v/>
      </c>
      <c r="O921" t="str" cm="1">
        <f t="array" aca="1" ref="O92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1" t="str" cm="1">
        <f t="array" ref="P92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1" t="str" cm="1">
        <f t="array" ref="Q92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1" t="str" cm="1">
        <f t="array" ref="R92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2" spans="1:18" x14ac:dyDescent="0.25">
      <c r="A922" s="14" t="str" cm="1">
        <f t="array" ref="A922">IF(Tasks[[#This Row],[Task]]="","","T-"&amp;TEXT(ROW()-ROW(Tasks[#Headers]),"000"))</f>
        <v/>
      </c>
      <c r="B922" s="15"/>
      <c r="C922" s="15"/>
      <c r="D922" s="15"/>
      <c r="E922" s="15"/>
      <c r="F922" s="16"/>
      <c r="G922" s="16"/>
      <c r="H922" s="16"/>
      <c r="I922" s="15"/>
      <c r="J922" s="15"/>
      <c r="K92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2" s="17" t="str">
        <f>IF(Tasks[[#This Row],[Task]]="","",IFERROR(VLOOKUP(IF(Tasks[[#This Row],[Effort]]="","M",Tasks[[#This Row],[Effort]]),EffortTable,2,FALSE),0))</f>
        <v/>
      </c>
      <c r="N922" t="str">
        <f>IF(Tasks[[#This Row],[Task]]="","",IFERROR(MATCH(Tasks[[#This Row],[Status]],{"Late","Blocked","Due soon"},0),9)*100000+N(Tasks[[#This Row],[Due]]))</f>
        <v/>
      </c>
      <c r="O922" t="str" cm="1">
        <f t="array" aca="1" ref="O92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2" t="str" cm="1">
        <f t="array" ref="P92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2" t="str" cm="1">
        <f t="array" ref="Q92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2" t="str" cm="1">
        <f t="array" ref="R92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3" spans="1:18" x14ac:dyDescent="0.25">
      <c r="A923" s="14" t="str" cm="1">
        <f t="array" ref="A923">IF(Tasks[[#This Row],[Task]]="","","T-"&amp;TEXT(ROW()-ROW(Tasks[#Headers]),"000"))</f>
        <v/>
      </c>
      <c r="B923" s="15"/>
      <c r="C923" s="15"/>
      <c r="D923" s="15"/>
      <c r="E923" s="15"/>
      <c r="F923" s="16"/>
      <c r="G923" s="16"/>
      <c r="H923" s="16"/>
      <c r="I923" s="15"/>
      <c r="J923" s="15"/>
      <c r="K92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3" s="17" t="str">
        <f>IF(Tasks[[#This Row],[Task]]="","",IFERROR(VLOOKUP(IF(Tasks[[#This Row],[Effort]]="","M",Tasks[[#This Row],[Effort]]),EffortTable,2,FALSE),0))</f>
        <v/>
      </c>
      <c r="N923" t="str">
        <f>IF(Tasks[[#This Row],[Task]]="","",IFERROR(MATCH(Tasks[[#This Row],[Status]],{"Late","Blocked","Due soon"},0),9)*100000+N(Tasks[[#This Row],[Due]]))</f>
        <v/>
      </c>
      <c r="O923" t="str" cm="1">
        <f t="array" aca="1" ref="O92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3" t="str" cm="1">
        <f t="array" ref="P92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3" t="str" cm="1">
        <f t="array" ref="Q92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3" t="str" cm="1">
        <f t="array" ref="R92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4" spans="1:18" x14ac:dyDescent="0.25">
      <c r="A924" s="14" t="str" cm="1">
        <f t="array" ref="A924">IF(Tasks[[#This Row],[Task]]="","","T-"&amp;TEXT(ROW()-ROW(Tasks[#Headers]),"000"))</f>
        <v/>
      </c>
      <c r="B924" s="15"/>
      <c r="C924" s="15"/>
      <c r="D924" s="15"/>
      <c r="E924" s="15"/>
      <c r="F924" s="16"/>
      <c r="G924" s="16"/>
      <c r="H924" s="16"/>
      <c r="I924" s="15"/>
      <c r="J924" s="15"/>
      <c r="K92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4" s="17" t="str">
        <f>IF(Tasks[[#This Row],[Task]]="","",IFERROR(VLOOKUP(IF(Tasks[[#This Row],[Effort]]="","M",Tasks[[#This Row],[Effort]]),EffortTable,2,FALSE),0))</f>
        <v/>
      </c>
      <c r="N924" t="str">
        <f>IF(Tasks[[#This Row],[Task]]="","",IFERROR(MATCH(Tasks[[#This Row],[Status]],{"Late","Blocked","Due soon"},0),9)*100000+N(Tasks[[#This Row],[Due]]))</f>
        <v/>
      </c>
      <c r="O924" t="str" cm="1">
        <f t="array" aca="1" ref="O92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4" t="str" cm="1">
        <f t="array" ref="P92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4" t="str" cm="1">
        <f t="array" ref="Q92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4" t="str" cm="1">
        <f t="array" ref="R92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5" spans="1:18" x14ac:dyDescent="0.25">
      <c r="A925" s="14" t="str" cm="1">
        <f t="array" ref="A925">IF(Tasks[[#This Row],[Task]]="","","T-"&amp;TEXT(ROW()-ROW(Tasks[#Headers]),"000"))</f>
        <v/>
      </c>
      <c r="B925" s="15"/>
      <c r="C925" s="15"/>
      <c r="D925" s="15"/>
      <c r="E925" s="15"/>
      <c r="F925" s="16"/>
      <c r="G925" s="16"/>
      <c r="H925" s="16"/>
      <c r="I925" s="15"/>
      <c r="J925" s="15"/>
      <c r="K92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5" s="17" t="str">
        <f>IF(Tasks[[#This Row],[Task]]="","",IFERROR(VLOOKUP(IF(Tasks[[#This Row],[Effort]]="","M",Tasks[[#This Row],[Effort]]),EffortTable,2,FALSE),0))</f>
        <v/>
      </c>
      <c r="N925" t="str">
        <f>IF(Tasks[[#This Row],[Task]]="","",IFERROR(MATCH(Tasks[[#This Row],[Status]],{"Late","Blocked","Due soon"},0),9)*100000+N(Tasks[[#This Row],[Due]]))</f>
        <v/>
      </c>
      <c r="O925" t="str" cm="1">
        <f t="array" aca="1" ref="O92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5" t="str" cm="1">
        <f t="array" ref="P92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5" t="str" cm="1">
        <f t="array" ref="Q92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5" t="str" cm="1">
        <f t="array" ref="R92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6" spans="1:18" x14ac:dyDescent="0.25">
      <c r="A926" s="14" t="str" cm="1">
        <f t="array" ref="A926">IF(Tasks[[#This Row],[Task]]="","","T-"&amp;TEXT(ROW()-ROW(Tasks[#Headers]),"000"))</f>
        <v/>
      </c>
      <c r="B926" s="15"/>
      <c r="C926" s="15"/>
      <c r="D926" s="15"/>
      <c r="E926" s="15"/>
      <c r="F926" s="16"/>
      <c r="G926" s="16"/>
      <c r="H926" s="16"/>
      <c r="I926" s="15"/>
      <c r="J926" s="15"/>
      <c r="K92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6" s="17" t="str">
        <f>IF(Tasks[[#This Row],[Task]]="","",IFERROR(VLOOKUP(IF(Tasks[[#This Row],[Effort]]="","M",Tasks[[#This Row],[Effort]]),EffortTable,2,FALSE),0))</f>
        <v/>
      </c>
      <c r="N926" t="str">
        <f>IF(Tasks[[#This Row],[Task]]="","",IFERROR(MATCH(Tasks[[#This Row],[Status]],{"Late","Blocked","Due soon"},0),9)*100000+N(Tasks[[#This Row],[Due]]))</f>
        <v/>
      </c>
      <c r="O926" t="str" cm="1">
        <f t="array" aca="1" ref="O92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6" t="str" cm="1">
        <f t="array" ref="P92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6" t="str" cm="1">
        <f t="array" ref="Q92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6" t="str" cm="1">
        <f t="array" ref="R92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7" spans="1:18" x14ac:dyDescent="0.25">
      <c r="A927" s="14" t="str" cm="1">
        <f t="array" ref="A927">IF(Tasks[[#This Row],[Task]]="","","T-"&amp;TEXT(ROW()-ROW(Tasks[#Headers]),"000"))</f>
        <v/>
      </c>
      <c r="B927" s="15"/>
      <c r="C927" s="15"/>
      <c r="D927" s="15"/>
      <c r="E927" s="15"/>
      <c r="F927" s="16"/>
      <c r="G927" s="16"/>
      <c r="H927" s="16"/>
      <c r="I927" s="15"/>
      <c r="J927" s="15"/>
      <c r="K92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7" s="17" t="str">
        <f>IF(Tasks[[#This Row],[Task]]="","",IFERROR(VLOOKUP(IF(Tasks[[#This Row],[Effort]]="","M",Tasks[[#This Row],[Effort]]),EffortTable,2,FALSE),0))</f>
        <v/>
      </c>
      <c r="N927" t="str">
        <f>IF(Tasks[[#This Row],[Task]]="","",IFERROR(MATCH(Tasks[[#This Row],[Status]],{"Late","Blocked","Due soon"},0),9)*100000+N(Tasks[[#This Row],[Due]]))</f>
        <v/>
      </c>
      <c r="O927" t="str" cm="1">
        <f t="array" aca="1" ref="O92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7" t="str" cm="1">
        <f t="array" ref="P92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7" t="str" cm="1">
        <f t="array" ref="Q92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7" t="str" cm="1">
        <f t="array" ref="R92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8" spans="1:18" x14ac:dyDescent="0.25">
      <c r="A928" s="14" t="str" cm="1">
        <f t="array" ref="A928">IF(Tasks[[#This Row],[Task]]="","","T-"&amp;TEXT(ROW()-ROW(Tasks[#Headers]),"000"))</f>
        <v/>
      </c>
      <c r="B928" s="15"/>
      <c r="C928" s="15"/>
      <c r="D928" s="15"/>
      <c r="E928" s="15"/>
      <c r="F928" s="16"/>
      <c r="G928" s="16"/>
      <c r="H928" s="16"/>
      <c r="I928" s="15"/>
      <c r="J928" s="15"/>
      <c r="K92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8" s="17" t="str">
        <f>IF(Tasks[[#This Row],[Task]]="","",IFERROR(VLOOKUP(IF(Tasks[[#This Row],[Effort]]="","M",Tasks[[#This Row],[Effort]]),EffortTable,2,FALSE),0))</f>
        <v/>
      </c>
      <c r="N928" t="str">
        <f>IF(Tasks[[#This Row],[Task]]="","",IFERROR(MATCH(Tasks[[#This Row],[Status]],{"Late","Blocked","Due soon"},0),9)*100000+N(Tasks[[#This Row],[Due]]))</f>
        <v/>
      </c>
      <c r="O928" t="str" cm="1">
        <f t="array" aca="1" ref="O92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8" t="str" cm="1">
        <f t="array" ref="P92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8" t="str" cm="1">
        <f t="array" ref="Q92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8" t="str" cm="1">
        <f t="array" ref="R92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29" spans="1:18" x14ac:dyDescent="0.25">
      <c r="A929" s="14" t="str" cm="1">
        <f t="array" ref="A929">IF(Tasks[[#This Row],[Task]]="","","T-"&amp;TEXT(ROW()-ROW(Tasks[#Headers]),"000"))</f>
        <v/>
      </c>
      <c r="B929" s="15"/>
      <c r="C929" s="15"/>
      <c r="D929" s="15"/>
      <c r="E929" s="15"/>
      <c r="F929" s="16"/>
      <c r="G929" s="16"/>
      <c r="H929" s="16"/>
      <c r="I929" s="15"/>
      <c r="J929" s="15"/>
      <c r="K92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2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29" s="17" t="str">
        <f>IF(Tasks[[#This Row],[Task]]="","",IFERROR(VLOOKUP(IF(Tasks[[#This Row],[Effort]]="","M",Tasks[[#This Row],[Effort]]),EffortTable,2,FALSE),0))</f>
        <v/>
      </c>
      <c r="N929" t="str">
        <f>IF(Tasks[[#This Row],[Task]]="","",IFERROR(MATCH(Tasks[[#This Row],[Status]],{"Late","Blocked","Due soon"},0),9)*100000+N(Tasks[[#This Row],[Due]]))</f>
        <v/>
      </c>
      <c r="O929" t="str" cm="1">
        <f t="array" aca="1" ref="O92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29" t="str" cm="1">
        <f t="array" ref="P92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29" t="str" cm="1">
        <f t="array" ref="Q92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29" t="str" cm="1">
        <f t="array" ref="R92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0" spans="1:18" x14ac:dyDescent="0.25">
      <c r="A930" s="14" t="str" cm="1">
        <f t="array" ref="A930">IF(Tasks[[#This Row],[Task]]="","","T-"&amp;TEXT(ROW()-ROW(Tasks[#Headers]),"000"))</f>
        <v/>
      </c>
      <c r="B930" s="15"/>
      <c r="C930" s="15"/>
      <c r="D930" s="15"/>
      <c r="E930" s="15"/>
      <c r="F930" s="16"/>
      <c r="G930" s="16"/>
      <c r="H930" s="16"/>
      <c r="I930" s="15"/>
      <c r="J930" s="15"/>
      <c r="K93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0" s="17" t="str">
        <f>IF(Tasks[[#This Row],[Task]]="","",IFERROR(VLOOKUP(IF(Tasks[[#This Row],[Effort]]="","M",Tasks[[#This Row],[Effort]]),EffortTable,2,FALSE),0))</f>
        <v/>
      </c>
      <c r="N930" t="str">
        <f>IF(Tasks[[#This Row],[Task]]="","",IFERROR(MATCH(Tasks[[#This Row],[Status]],{"Late","Blocked","Due soon"},0),9)*100000+N(Tasks[[#This Row],[Due]]))</f>
        <v/>
      </c>
      <c r="O930" t="str" cm="1">
        <f t="array" aca="1" ref="O93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0" t="str" cm="1">
        <f t="array" ref="P93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0" t="str" cm="1">
        <f t="array" ref="Q93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0" t="str" cm="1">
        <f t="array" ref="R93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1" spans="1:18" x14ac:dyDescent="0.25">
      <c r="A931" s="14" t="str" cm="1">
        <f t="array" ref="A931">IF(Tasks[[#This Row],[Task]]="","","T-"&amp;TEXT(ROW()-ROW(Tasks[#Headers]),"000"))</f>
        <v/>
      </c>
      <c r="B931" s="15"/>
      <c r="C931" s="15"/>
      <c r="D931" s="15"/>
      <c r="E931" s="15"/>
      <c r="F931" s="16"/>
      <c r="G931" s="16"/>
      <c r="H931" s="16"/>
      <c r="I931" s="15"/>
      <c r="J931" s="15"/>
      <c r="K93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1" s="17" t="str">
        <f>IF(Tasks[[#This Row],[Task]]="","",IFERROR(VLOOKUP(IF(Tasks[[#This Row],[Effort]]="","M",Tasks[[#This Row],[Effort]]),EffortTable,2,FALSE),0))</f>
        <v/>
      </c>
      <c r="N931" t="str">
        <f>IF(Tasks[[#This Row],[Task]]="","",IFERROR(MATCH(Tasks[[#This Row],[Status]],{"Late","Blocked","Due soon"},0),9)*100000+N(Tasks[[#This Row],[Due]]))</f>
        <v/>
      </c>
      <c r="O931" t="str" cm="1">
        <f t="array" aca="1" ref="O93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1" t="str" cm="1">
        <f t="array" ref="P93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1" t="str" cm="1">
        <f t="array" ref="Q93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1" t="str" cm="1">
        <f t="array" ref="R93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2" spans="1:18" x14ac:dyDescent="0.25">
      <c r="A932" s="14" t="str" cm="1">
        <f t="array" ref="A932">IF(Tasks[[#This Row],[Task]]="","","T-"&amp;TEXT(ROW()-ROW(Tasks[#Headers]),"000"))</f>
        <v/>
      </c>
      <c r="B932" s="15"/>
      <c r="C932" s="15"/>
      <c r="D932" s="15"/>
      <c r="E932" s="15"/>
      <c r="F932" s="16"/>
      <c r="G932" s="16"/>
      <c r="H932" s="16"/>
      <c r="I932" s="15"/>
      <c r="J932" s="15"/>
      <c r="K93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2" s="17" t="str">
        <f>IF(Tasks[[#This Row],[Task]]="","",IFERROR(VLOOKUP(IF(Tasks[[#This Row],[Effort]]="","M",Tasks[[#This Row],[Effort]]),EffortTable,2,FALSE),0))</f>
        <v/>
      </c>
      <c r="N932" t="str">
        <f>IF(Tasks[[#This Row],[Task]]="","",IFERROR(MATCH(Tasks[[#This Row],[Status]],{"Late","Blocked","Due soon"},0),9)*100000+N(Tasks[[#This Row],[Due]]))</f>
        <v/>
      </c>
      <c r="O932" t="str" cm="1">
        <f t="array" aca="1" ref="O93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2" t="str" cm="1">
        <f t="array" ref="P93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2" t="str" cm="1">
        <f t="array" ref="Q93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2" t="str" cm="1">
        <f t="array" ref="R93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3" spans="1:18" x14ac:dyDescent="0.25">
      <c r="A933" s="14" t="str" cm="1">
        <f t="array" ref="A933">IF(Tasks[[#This Row],[Task]]="","","T-"&amp;TEXT(ROW()-ROW(Tasks[#Headers]),"000"))</f>
        <v/>
      </c>
      <c r="B933" s="15"/>
      <c r="C933" s="15"/>
      <c r="D933" s="15"/>
      <c r="E933" s="15"/>
      <c r="F933" s="16"/>
      <c r="G933" s="16"/>
      <c r="H933" s="16"/>
      <c r="I933" s="15"/>
      <c r="J933" s="15"/>
      <c r="K93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3" s="17" t="str">
        <f>IF(Tasks[[#This Row],[Task]]="","",IFERROR(VLOOKUP(IF(Tasks[[#This Row],[Effort]]="","M",Tasks[[#This Row],[Effort]]),EffortTable,2,FALSE),0))</f>
        <v/>
      </c>
      <c r="N933" t="str">
        <f>IF(Tasks[[#This Row],[Task]]="","",IFERROR(MATCH(Tasks[[#This Row],[Status]],{"Late","Blocked","Due soon"},0),9)*100000+N(Tasks[[#This Row],[Due]]))</f>
        <v/>
      </c>
      <c r="O933" t="str" cm="1">
        <f t="array" aca="1" ref="O93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3" t="str" cm="1">
        <f t="array" ref="P93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3" t="str" cm="1">
        <f t="array" ref="Q93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3" t="str" cm="1">
        <f t="array" ref="R93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4" spans="1:18" x14ac:dyDescent="0.25">
      <c r="A934" s="14" t="str" cm="1">
        <f t="array" ref="A934">IF(Tasks[[#This Row],[Task]]="","","T-"&amp;TEXT(ROW()-ROW(Tasks[#Headers]),"000"))</f>
        <v/>
      </c>
      <c r="B934" s="15"/>
      <c r="C934" s="15"/>
      <c r="D934" s="15"/>
      <c r="E934" s="15"/>
      <c r="F934" s="16"/>
      <c r="G934" s="16"/>
      <c r="H934" s="16"/>
      <c r="I934" s="15"/>
      <c r="J934" s="15"/>
      <c r="K93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4" s="17" t="str">
        <f>IF(Tasks[[#This Row],[Task]]="","",IFERROR(VLOOKUP(IF(Tasks[[#This Row],[Effort]]="","M",Tasks[[#This Row],[Effort]]),EffortTable,2,FALSE),0))</f>
        <v/>
      </c>
      <c r="N934" t="str">
        <f>IF(Tasks[[#This Row],[Task]]="","",IFERROR(MATCH(Tasks[[#This Row],[Status]],{"Late","Blocked","Due soon"},0),9)*100000+N(Tasks[[#This Row],[Due]]))</f>
        <v/>
      </c>
      <c r="O934" t="str" cm="1">
        <f t="array" aca="1" ref="O93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4" t="str" cm="1">
        <f t="array" ref="P93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4" t="str" cm="1">
        <f t="array" ref="Q93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4" t="str" cm="1">
        <f t="array" ref="R93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5" spans="1:18" x14ac:dyDescent="0.25">
      <c r="A935" s="14" t="str" cm="1">
        <f t="array" ref="A935">IF(Tasks[[#This Row],[Task]]="","","T-"&amp;TEXT(ROW()-ROW(Tasks[#Headers]),"000"))</f>
        <v/>
      </c>
      <c r="B935" s="15"/>
      <c r="C935" s="15"/>
      <c r="D935" s="15"/>
      <c r="E935" s="15"/>
      <c r="F935" s="16"/>
      <c r="G935" s="16"/>
      <c r="H935" s="16"/>
      <c r="I935" s="15"/>
      <c r="J935" s="15"/>
      <c r="K93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5" s="17" t="str">
        <f>IF(Tasks[[#This Row],[Task]]="","",IFERROR(VLOOKUP(IF(Tasks[[#This Row],[Effort]]="","M",Tasks[[#This Row],[Effort]]),EffortTable,2,FALSE),0))</f>
        <v/>
      </c>
      <c r="N935" t="str">
        <f>IF(Tasks[[#This Row],[Task]]="","",IFERROR(MATCH(Tasks[[#This Row],[Status]],{"Late","Blocked","Due soon"},0),9)*100000+N(Tasks[[#This Row],[Due]]))</f>
        <v/>
      </c>
      <c r="O935" t="str" cm="1">
        <f t="array" aca="1" ref="O93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5" t="str" cm="1">
        <f t="array" ref="P93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5" t="str" cm="1">
        <f t="array" ref="Q93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5" t="str" cm="1">
        <f t="array" ref="R93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6" spans="1:18" x14ac:dyDescent="0.25">
      <c r="A936" s="14" t="str" cm="1">
        <f t="array" ref="A936">IF(Tasks[[#This Row],[Task]]="","","T-"&amp;TEXT(ROW()-ROW(Tasks[#Headers]),"000"))</f>
        <v/>
      </c>
      <c r="B936" s="15"/>
      <c r="C936" s="15"/>
      <c r="D936" s="15"/>
      <c r="E936" s="15"/>
      <c r="F936" s="16"/>
      <c r="G936" s="16"/>
      <c r="H936" s="16"/>
      <c r="I936" s="15"/>
      <c r="J936" s="15"/>
      <c r="K93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6" s="17" t="str">
        <f>IF(Tasks[[#This Row],[Task]]="","",IFERROR(VLOOKUP(IF(Tasks[[#This Row],[Effort]]="","M",Tasks[[#This Row],[Effort]]),EffortTable,2,FALSE),0))</f>
        <v/>
      </c>
      <c r="N936" t="str">
        <f>IF(Tasks[[#This Row],[Task]]="","",IFERROR(MATCH(Tasks[[#This Row],[Status]],{"Late","Blocked","Due soon"},0),9)*100000+N(Tasks[[#This Row],[Due]]))</f>
        <v/>
      </c>
      <c r="O936" t="str" cm="1">
        <f t="array" aca="1" ref="O93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6" t="str" cm="1">
        <f t="array" ref="P93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6" t="str" cm="1">
        <f t="array" ref="Q93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6" t="str" cm="1">
        <f t="array" ref="R93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7" spans="1:18" x14ac:dyDescent="0.25">
      <c r="A937" s="14" t="str" cm="1">
        <f t="array" ref="A937">IF(Tasks[[#This Row],[Task]]="","","T-"&amp;TEXT(ROW()-ROW(Tasks[#Headers]),"000"))</f>
        <v/>
      </c>
      <c r="B937" s="15"/>
      <c r="C937" s="15"/>
      <c r="D937" s="15"/>
      <c r="E937" s="15"/>
      <c r="F937" s="16"/>
      <c r="G937" s="16"/>
      <c r="H937" s="16"/>
      <c r="I937" s="15"/>
      <c r="J937" s="15"/>
      <c r="K93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7" s="17" t="str">
        <f>IF(Tasks[[#This Row],[Task]]="","",IFERROR(VLOOKUP(IF(Tasks[[#This Row],[Effort]]="","M",Tasks[[#This Row],[Effort]]),EffortTable,2,FALSE),0))</f>
        <v/>
      </c>
      <c r="N937" t="str">
        <f>IF(Tasks[[#This Row],[Task]]="","",IFERROR(MATCH(Tasks[[#This Row],[Status]],{"Late","Blocked","Due soon"},0),9)*100000+N(Tasks[[#This Row],[Due]]))</f>
        <v/>
      </c>
      <c r="O937" t="str" cm="1">
        <f t="array" aca="1" ref="O93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7" t="str" cm="1">
        <f t="array" ref="P93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7" t="str" cm="1">
        <f t="array" ref="Q93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7" t="str" cm="1">
        <f t="array" ref="R93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8" spans="1:18" x14ac:dyDescent="0.25">
      <c r="A938" s="14" t="str" cm="1">
        <f t="array" ref="A938">IF(Tasks[[#This Row],[Task]]="","","T-"&amp;TEXT(ROW()-ROW(Tasks[#Headers]),"000"))</f>
        <v/>
      </c>
      <c r="B938" s="15"/>
      <c r="C938" s="15"/>
      <c r="D938" s="15"/>
      <c r="E938" s="15"/>
      <c r="F938" s="16"/>
      <c r="G938" s="16"/>
      <c r="H938" s="16"/>
      <c r="I938" s="15"/>
      <c r="J938" s="15"/>
      <c r="K93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8" s="17" t="str">
        <f>IF(Tasks[[#This Row],[Task]]="","",IFERROR(VLOOKUP(IF(Tasks[[#This Row],[Effort]]="","M",Tasks[[#This Row],[Effort]]),EffortTable,2,FALSE),0))</f>
        <v/>
      </c>
      <c r="N938" t="str">
        <f>IF(Tasks[[#This Row],[Task]]="","",IFERROR(MATCH(Tasks[[#This Row],[Status]],{"Late","Blocked","Due soon"},0),9)*100000+N(Tasks[[#This Row],[Due]]))</f>
        <v/>
      </c>
      <c r="O938" t="str" cm="1">
        <f t="array" aca="1" ref="O93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8" t="str" cm="1">
        <f t="array" ref="P93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8" t="str" cm="1">
        <f t="array" ref="Q93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8" t="str" cm="1">
        <f t="array" ref="R93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39" spans="1:18" x14ac:dyDescent="0.25">
      <c r="A939" s="14" t="str" cm="1">
        <f t="array" ref="A939">IF(Tasks[[#This Row],[Task]]="","","T-"&amp;TEXT(ROW()-ROW(Tasks[#Headers]),"000"))</f>
        <v/>
      </c>
      <c r="B939" s="15"/>
      <c r="C939" s="15"/>
      <c r="D939" s="15"/>
      <c r="E939" s="15"/>
      <c r="F939" s="16"/>
      <c r="G939" s="16"/>
      <c r="H939" s="16"/>
      <c r="I939" s="15"/>
      <c r="J939" s="15"/>
      <c r="K93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3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39" s="17" t="str">
        <f>IF(Tasks[[#This Row],[Task]]="","",IFERROR(VLOOKUP(IF(Tasks[[#This Row],[Effort]]="","M",Tasks[[#This Row],[Effort]]),EffortTable,2,FALSE),0))</f>
        <v/>
      </c>
      <c r="N939" t="str">
        <f>IF(Tasks[[#This Row],[Task]]="","",IFERROR(MATCH(Tasks[[#This Row],[Status]],{"Late","Blocked","Due soon"},0),9)*100000+N(Tasks[[#This Row],[Due]]))</f>
        <v/>
      </c>
      <c r="O939" t="str" cm="1">
        <f t="array" aca="1" ref="O93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39" t="str" cm="1">
        <f t="array" ref="P93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39" t="str" cm="1">
        <f t="array" ref="Q93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39" t="str" cm="1">
        <f t="array" ref="R93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0" spans="1:18" x14ac:dyDescent="0.25">
      <c r="A940" s="14" t="str" cm="1">
        <f t="array" ref="A940">IF(Tasks[[#This Row],[Task]]="","","T-"&amp;TEXT(ROW()-ROW(Tasks[#Headers]),"000"))</f>
        <v/>
      </c>
      <c r="B940" s="15"/>
      <c r="C940" s="15"/>
      <c r="D940" s="15"/>
      <c r="E940" s="15"/>
      <c r="F940" s="16"/>
      <c r="G940" s="16"/>
      <c r="H940" s="16"/>
      <c r="I940" s="15"/>
      <c r="J940" s="15"/>
      <c r="K94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0" s="17" t="str">
        <f>IF(Tasks[[#This Row],[Task]]="","",IFERROR(VLOOKUP(IF(Tasks[[#This Row],[Effort]]="","M",Tasks[[#This Row],[Effort]]),EffortTable,2,FALSE),0))</f>
        <v/>
      </c>
      <c r="N940" t="str">
        <f>IF(Tasks[[#This Row],[Task]]="","",IFERROR(MATCH(Tasks[[#This Row],[Status]],{"Late","Blocked","Due soon"},0),9)*100000+N(Tasks[[#This Row],[Due]]))</f>
        <v/>
      </c>
      <c r="O940" t="str" cm="1">
        <f t="array" aca="1" ref="O94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0" t="str" cm="1">
        <f t="array" ref="P94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0" t="str" cm="1">
        <f t="array" ref="Q94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0" t="str" cm="1">
        <f t="array" ref="R94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1" spans="1:18" x14ac:dyDescent="0.25">
      <c r="A941" s="14" t="str" cm="1">
        <f t="array" ref="A941">IF(Tasks[[#This Row],[Task]]="","","T-"&amp;TEXT(ROW()-ROW(Tasks[#Headers]),"000"))</f>
        <v/>
      </c>
      <c r="B941" s="15"/>
      <c r="C941" s="15"/>
      <c r="D941" s="15"/>
      <c r="E941" s="15"/>
      <c r="F941" s="16"/>
      <c r="G941" s="16"/>
      <c r="H941" s="16"/>
      <c r="I941" s="15"/>
      <c r="J941" s="15"/>
      <c r="K94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1" s="17" t="str">
        <f>IF(Tasks[[#This Row],[Task]]="","",IFERROR(VLOOKUP(IF(Tasks[[#This Row],[Effort]]="","M",Tasks[[#This Row],[Effort]]),EffortTable,2,FALSE),0))</f>
        <v/>
      </c>
      <c r="N941" t="str">
        <f>IF(Tasks[[#This Row],[Task]]="","",IFERROR(MATCH(Tasks[[#This Row],[Status]],{"Late","Blocked","Due soon"},0),9)*100000+N(Tasks[[#This Row],[Due]]))</f>
        <v/>
      </c>
      <c r="O941" t="str" cm="1">
        <f t="array" aca="1" ref="O94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1" t="str" cm="1">
        <f t="array" ref="P94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1" t="str" cm="1">
        <f t="array" ref="Q94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1" t="str" cm="1">
        <f t="array" ref="R94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2" spans="1:18" x14ac:dyDescent="0.25">
      <c r="A942" s="14" t="str" cm="1">
        <f t="array" ref="A942">IF(Tasks[[#This Row],[Task]]="","","T-"&amp;TEXT(ROW()-ROW(Tasks[#Headers]),"000"))</f>
        <v/>
      </c>
      <c r="B942" s="15"/>
      <c r="C942" s="15"/>
      <c r="D942" s="15"/>
      <c r="E942" s="15"/>
      <c r="F942" s="16"/>
      <c r="G942" s="16"/>
      <c r="H942" s="16"/>
      <c r="I942" s="15"/>
      <c r="J942" s="15"/>
      <c r="K94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2" s="17" t="str">
        <f>IF(Tasks[[#This Row],[Task]]="","",IFERROR(VLOOKUP(IF(Tasks[[#This Row],[Effort]]="","M",Tasks[[#This Row],[Effort]]),EffortTable,2,FALSE),0))</f>
        <v/>
      </c>
      <c r="N942" t="str">
        <f>IF(Tasks[[#This Row],[Task]]="","",IFERROR(MATCH(Tasks[[#This Row],[Status]],{"Late","Blocked","Due soon"},0),9)*100000+N(Tasks[[#This Row],[Due]]))</f>
        <v/>
      </c>
      <c r="O942" t="str" cm="1">
        <f t="array" aca="1" ref="O94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2" t="str" cm="1">
        <f t="array" ref="P94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2" t="str" cm="1">
        <f t="array" ref="Q94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2" t="str" cm="1">
        <f t="array" ref="R94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3" spans="1:18" x14ac:dyDescent="0.25">
      <c r="A943" s="14" t="str" cm="1">
        <f t="array" ref="A943">IF(Tasks[[#This Row],[Task]]="","","T-"&amp;TEXT(ROW()-ROW(Tasks[#Headers]),"000"))</f>
        <v/>
      </c>
      <c r="B943" s="15"/>
      <c r="C943" s="15"/>
      <c r="D943" s="15"/>
      <c r="E943" s="15"/>
      <c r="F943" s="16"/>
      <c r="G943" s="16"/>
      <c r="H943" s="16"/>
      <c r="I943" s="15"/>
      <c r="J943" s="15"/>
      <c r="K94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3" s="17" t="str">
        <f>IF(Tasks[[#This Row],[Task]]="","",IFERROR(VLOOKUP(IF(Tasks[[#This Row],[Effort]]="","M",Tasks[[#This Row],[Effort]]),EffortTable,2,FALSE),0))</f>
        <v/>
      </c>
      <c r="N943" t="str">
        <f>IF(Tasks[[#This Row],[Task]]="","",IFERROR(MATCH(Tasks[[#This Row],[Status]],{"Late","Blocked","Due soon"},0),9)*100000+N(Tasks[[#This Row],[Due]]))</f>
        <v/>
      </c>
      <c r="O943" t="str" cm="1">
        <f t="array" aca="1" ref="O94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3" t="str" cm="1">
        <f t="array" ref="P94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3" t="str" cm="1">
        <f t="array" ref="Q94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3" t="str" cm="1">
        <f t="array" ref="R94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4" spans="1:18" x14ac:dyDescent="0.25">
      <c r="A944" s="14" t="str" cm="1">
        <f t="array" ref="A944">IF(Tasks[[#This Row],[Task]]="","","T-"&amp;TEXT(ROW()-ROW(Tasks[#Headers]),"000"))</f>
        <v/>
      </c>
      <c r="B944" s="15"/>
      <c r="C944" s="15"/>
      <c r="D944" s="15"/>
      <c r="E944" s="15"/>
      <c r="F944" s="16"/>
      <c r="G944" s="16"/>
      <c r="H944" s="16"/>
      <c r="I944" s="15"/>
      <c r="J944" s="15"/>
      <c r="K94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4" s="17" t="str">
        <f>IF(Tasks[[#This Row],[Task]]="","",IFERROR(VLOOKUP(IF(Tasks[[#This Row],[Effort]]="","M",Tasks[[#This Row],[Effort]]),EffortTable,2,FALSE),0))</f>
        <v/>
      </c>
      <c r="N944" t="str">
        <f>IF(Tasks[[#This Row],[Task]]="","",IFERROR(MATCH(Tasks[[#This Row],[Status]],{"Late","Blocked","Due soon"},0),9)*100000+N(Tasks[[#This Row],[Due]]))</f>
        <v/>
      </c>
      <c r="O944" t="str" cm="1">
        <f t="array" aca="1" ref="O94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4" t="str" cm="1">
        <f t="array" ref="P94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4" t="str" cm="1">
        <f t="array" ref="Q94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4" t="str" cm="1">
        <f t="array" ref="R94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5" spans="1:18" x14ac:dyDescent="0.25">
      <c r="A945" s="14" t="str" cm="1">
        <f t="array" ref="A945">IF(Tasks[[#This Row],[Task]]="","","T-"&amp;TEXT(ROW()-ROW(Tasks[#Headers]),"000"))</f>
        <v/>
      </c>
      <c r="B945" s="15"/>
      <c r="C945" s="15"/>
      <c r="D945" s="15"/>
      <c r="E945" s="15"/>
      <c r="F945" s="16"/>
      <c r="G945" s="16"/>
      <c r="H945" s="16"/>
      <c r="I945" s="15"/>
      <c r="J945" s="15"/>
      <c r="K94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5" s="17" t="str">
        <f>IF(Tasks[[#This Row],[Task]]="","",IFERROR(VLOOKUP(IF(Tasks[[#This Row],[Effort]]="","M",Tasks[[#This Row],[Effort]]),EffortTable,2,FALSE),0))</f>
        <v/>
      </c>
      <c r="N945" t="str">
        <f>IF(Tasks[[#This Row],[Task]]="","",IFERROR(MATCH(Tasks[[#This Row],[Status]],{"Late","Blocked","Due soon"},0),9)*100000+N(Tasks[[#This Row],[Due]]))</f>
        <v/>
      </c>
      <c r="O945" t="str" cm="1">
        <f t="array" aca="1" ref="O94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5" t="str" cm="1">
        <f t="array" ref="P94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5" t="str" cm="1">
        <f t="array" ref="Q94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5" t="str" cm="1">
        <f t="array" ref="R94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6" spans="1:18" x14ac:dyDescent="0.25">
      <c r="A946" s="14" t="str" cm="1">
        <f t="array" ref="A946">IF(Tasks[[#This Row],[Task]]="","","T-"&amp;TEXT(ROW()-ROW(Tasks[#Headers]),"000"))</f>
        <v/>
      </c>
      <c r="B946" s="15"/>
      <c r="C946" s="15"/>
      <c r="D946" s="15"/>
      <c r="E946" s="15"/>
      <c r="F946" s="16"/>
      <c r="G946" s="16"/>
      <c r="H946" s="16"/>
      <c r="I946" s="15"/>
      <c r="J946" s="15"/>
      <c r="K94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6" s="17" t="str">
        <f>IF(Tasks[[#This Row],[Task]]="","",IFERROR(VLOOKUP(IF(Tasks[[#This Row],[Effort]]="","M",Tasks[[#This Row],[Effort]]),EffortTable,2,FALSE),0))</f>
        <v/>
      </c>
      <c r="N946" t="str">
        <f>IF(Tasks[[#This Row],[Task]]="","",IFERROR(MATCH(Tasks[[#This Row],[Status]],{"Late","Blocked","Due soon"},0),9)*100000+N(Tasks[[#This Row],[Due]]))</f>
        <v/>
      </c>
      <c r="O946" t="str" cm="1">
        <f t="array" aca="1" ref="O94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6" t="str" cm="1">
        <f t="array" ref="P94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6" t="str" cm="1">
        <f t="array" ref="Q94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6" t="str" cm="1">
        <f t="array" ref="R94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7" spans="1:18" x14ac:dyDescent="0.25">
      <c r="A947" s="14" t="str" cm="1">
        <f t="array" ref="A947">IF(Tasks[[#This Row],[Task]]="","","T-"&amp;TEXT(ROW()-ROW(Tasks[#Headers]),"000"))</f>
        <v/>
      </c>
      <c r="B947" s="15"/>
      <c r="C947" s="15"/>
      <c r="D947" s="15"/>
      <c r="E947" s="15"/>
      <c r="F947" s="16"/>
      <c r="G947" s="16"/>
      <c r="H947" s="16"/>
      <c r="I947" s="15"/>
      <c r="J947" s="15"/>
      <c r="K94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7" s="17" t="str">
        <f>IF(Tasks[[#This Row],[Task]]="","",IFERROR(VLOOKUP(IF(Tasks[[#This Row],[Effort]]="","M",Tasks[[#This Row],[Effort]]),EffortTable,2,FALSE),0))</f>
        <v/>
      </c>
      <c r="N947" t="str">
        <f>IF(Tasks[[#This Row],[Task]]="","",IFERROR(MATCH(Tasks[[#This Row],[Status]],{"Late","Blocked","Due soon"},0),9)*100000+N(Tasks[[#This Row],[Due]]))</f>
        <v/>
      </c>
      <c r="O947" t="str" cm="1">
        <f t="array" aca="1" ref="O94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7" t="str" cm="1">
        <f t="array" ref="P94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7" t="str" cm="1">
        <f t="array" ref="Q94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7" t="str" cm="1">
        <f t="array" ref="R94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8" spans="1:18" x14ac:dyDescent="0.25">
      <c r="A948" s="14" t="str" cm="1">
        <f t="array" ref="A948">IF(Tasks[[#This Row],[Task]]="","","T-"&amp;TEXT(ROW()-ROW(Tasks[#Headers]),"000"))</f>
        <v/>
      </c>
      <c r="B948" s="15"/>
      <c r="C948" s="15"/>
      <c r="D948" s="15"/>
      <c r="E948" s="15"/>
      <c r="F948" s="16"/>
      <c r="G948" s="16"/>
      <c r="H948" s="16"/>
      <c r="I948" s="15"/>
      <c r="J948" s="15"/>
      <c r="K94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8" s="17" t="str">
        <f>IF(Tasks[[#This Row],[Task]]="","",IFERROR(VLOOKUP(IF(Tasks[[#This Row],[Effort]]="","M",Tasks[[#This Row],[Effort]]),EffortTable,2,FALSE),0))</f>
        <v/>
      </c>
      <c r="N948" t="str">
        <f>IF(Tasks[[#This Row],[Task]]="","",IFERROR(MATCH(Tasks[[#This Row],[Status]],{"Late","Blocked","Due soon"},0),9)*100000+N(Tasks[[#This Row],[Due]]))</f>
        <v/>
      </c>
      <c r="O948" t="str" cm="1">
        <f t="array" aca="1" ref="O94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8" t="str" cm="1">
        <f t="array" ref="P94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8" t="str" cm="1">
        <f t="array" ref="Q94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8" t="str" cm="1">
        <f t="array" ref="R94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49" spans="1:18" x14ac:dyDescent="0.25">
      <c r="A949" s="14" t="str" cm="1">
        <f t="array" ref="A949">IF(Tasks[[#This Row],[Task]]="","","T-"&amp;TEXT(ROW()-ROW(Tasks[#Headers]),"000"))</f>
        <v/>
      </c>
      <c r="B949" s="15"/>
      <c r="C949" s="15"/>
      <c r="D949" s="15"/>
      <c r="E949" s="15"/>
      <c r="F949" s="16"/>
      <c r="G949" s="16"/>
      <c r="H949" s="16"/>
      <c r="I949" s="15"/>
      <c r="J949" s="15"/>
      <c r="K94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4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49" s="17" t="str">
        <f>IF(Tasks[[#This Row],[Task]]="","",IFERROR(VLOOKUP(IF(Tasks[[#This Row],[Effort]]="","M",Tasks[[#This Row],[Effort]]),EffortTable,2,FALSE),0))</f>
        <v/>
      </c>
      <c r="N949" t="str">
        <f>IF(Tasks[[#This Row],[Task]]="","",IFERROR(MATCH(Tasks[[#This Row],[Status]],{"Late","Blocked","Due soon"},0),9)*100000+N(Tasks[[#This Row],[Due]]))</f>
        <v/>
      </c>
      <c r="O949" t="str" cm="1">
        <f t="array" aca="1" ref="O94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49" t="str" cm="1">
        <f t="array" ref="P94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49" t="str" cm="1">
        <f t="array" ref="Q94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49" t="str" cm="1">
        <f t="array" ref="R94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0" spans="1:18" x14ac:dyDescent="0.25">
      <c r="A950" s="14" t="str" cm="1">
        <f t="array" ref="A950">IF(Tasks[[#This Row],[Task]]="","","T-"&amp;TEXT(ROW()-ROW(Tasks[#Headers]),"000"))</f>
        <v/>
      </c>
      <c r="B950" s="15"/>
      <c r="C950" s="15"/>
      <c r="D950" s="15"/>
      <c r="E950" s="15"/>
      <c r="F950" s="16"/>
      <c r="G950" s="16"/>
      <c r="H950" s="16"/>
      <c r="I950" s="15"/>
      <c r="J950" s="15"/>
      <c r="K95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0" s="17" t="str">
        <f>IF(Tasks[[#This Row],[Task]]="","",IFERROR(VLOOKUP(IF(Tasks[[#This Row],[Effort]]="","M",Tasks[[#This Row],[Effort]]),EffortTable,2,FALSE),0))</f>
        <v/>
      </c>
      <c r="N950" t="str">
        <f>IF(Tasks[[#This Row],[Task]]="","",IFERROR(MATCH(Tasks[[#This Row],[Status]],{"Late","Blocked","Due soon"},0),9)*100000+N(Tasks[[#This Row],[Due]]))</f>
        <v/>
      </c>
      <c r="O950" t="str" cm="1">
        <f t="array" aca="1" ref="O95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0" t="str" cm="1">
        <f t="array" ref="P95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0" t="str" cm="1">
        <f t="array" ref="Q95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0" t="str" cm="1">
        <f t="array" ref="R95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1" spans="1:18" x14ac:dyDescent="0.25">
      <c r="A951" s="14" t="str" cm="1">
        <f t="array" ref="A951">IF(Tasks[[#This Row],[Task]]="","","T-"&amp;TEXT(ROW()-ROW(Tasks[#Headers]),"000"))</f>
        <v/>
      </c>
      <c r="B951" s="15"/>
      <c r="C951" s="15"/>
      <c r="D951" s="15"/>
      <c r="E951" s="15"/>
      <c r="F951" s="16"/>
      <c r="G951" s="16"/>
      <c r="H951" s="16"/>
      <c r="I951" s="15"/>
      <c r="J951" s="15"/>
      <c r="K95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1" s="17" t="str">
        <f>IF(Tasks[[#This Row],[Task]]="","",IFERROR(VLOOKUP(IF(Tasks[[#This Row],[Effort]]="","M",Tasks[[#This Row],[Effort]]),EffortTable,2,FALSE),0))</f>
        <v/>
      </c>
      <c r="N951" t="str">
        <f>IF(Tasks[[#This Row],[Task]]="","",IFERROR(MATCH(Tasks[[#This Row],[Status]],{"Late","Blocked","Due soon"},0),9)*100000+N(Tasks[[#This Row],[Due]]))</f>
        <v/>
      </c>
      <c r="O951" t="str" cm="1">
        <f t="array" aca="1" ref="O95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1" t="str" cm="1">
        <f t="array" ref="P95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1" t="str" cm="1">
        <f t="array" ref="Q95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1" t="str" cm="1">
        <f t="array" ref="R95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2" spans="1:18" x14ac:dyDescent="0.25">
      <c r="A952" s="14" t="str" cm="1">
        <f t="array" ref="A952">IF(Tasks[[#This Row],[Task]]="","","T-"&amp;TEXT(ROW()-ROW(Tasks[#Headers]),"000"))</f>
        <v/>
      </c>
      <c r="B952" s="15"/>
      <c r="C952" s="15"/>
      <c r="D952" s="15"/>
      <c r="E952" s="15"/>
      <c r="F952" s="16"/>
      <c r="G952" s="16"/>
      <c r="H952" s="16"/>
      <c r="I952" s="15"/>
      <c r="J952" s="15"/>
      <c r="K95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2" s="17" t="str">
        <f>IF(Tasks[[#This Row],[Task]]="","",IFERROR(VLOOKUP(IF(Tasks[[#This Row],[Effort]]="","M",Tasks[[#This Row],[Effort]]),EffortTable,2,FALSE),0))</f>
        <v/>
      </c>
      <c r="N952" t="str">
        <f>IF(Tasks[[#This Row],[Task]]="","",IFERROR(MATCH(Tasks[[#This Row],[Status]],{"Late","Blocked","Due soon"},0),9)*100000+N(Tasks[[#This Row],[Due]]))</f>
        <v/>
      </c>
      <c r="O952" t="str" cm="1">
        <f t="array" aca="1" ref="O95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2" t="str" cm="1">
        <f t="array" ref="P95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2" t="str" cm="1">
        <f t="array" ref="Q95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2" t="str" cm="1">
        <f t="array" ref="R95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3" spans="1:18" x14ac:dyDescent="0.25">
      <c r="A953" s="14" t="str" cm="1">
        <f t="array" ref="A953">IF(Tasks[[#This Row],[Task]]="","","T-"&amp;TEXT(ROW()-ROW(Tasks[#Headers]),"000"))</f>
        <v/>
      </c>
      <c r="B953" s="15"/>
      <c r="C953" s="15"/>
      <c r="D953" s="15"/>
      <c r="E953" s="15"/>
      <c r="F953" s="16"/>
      <c r="G953" s="16"/>
      <c r="H953" s="16"/>
      <c r="I953" s="15"/>
      <c r="J953" s="15"/>
      <c r="K95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3" s="17" t="str">
        <f>IF(Tasks[[#This Row],[Task]]="","",IFERROR(VLOOKUP(IF(Tasks[[#This Row],[Effort]]="","M",Tasks[[#This Row],[Effort]]),EffortTable,2,FALSE),0))</f>
        <v/>
      </c>
      <c r="N953" t="str">
        <f>IF(Tasks[[#This Row],[Task]]="","",IFERROR(MATCH(Tasks[[#This Row],[Status]],{"Late","Blocked","Due soon"},0),9)*100000+N(Tasks[[#This Row],[Due]]))</f>
        <v/>
      </c>
      <c r="O953" t="str" cm="1">
        <f t="array" aca="1" ref="O95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3" t="str" cm="1">
        <f t="array" ref="P95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3" t="str" cm="1">
        <f t="array" ref="Q95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3" t="str" cm="1">
        <f t="array" ref="R95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4" spans="1:18" x14ac:dyDescent="0.25">
      <c r="A954" s="14" t="str" cm="1">
        <f t="array" ref="A954">IF(Tasks[[#This Row],[Task]]="","","T-"&amp;TEXT(ROW()-ROW(Tasks[#Headers]),"000"))</f>
        <v/>
      </c>
      <c r="B954" s="15"/>
      <c r="C954" s="15"/>
      <c r="D954" s="15"/>
      <c r="E954" s="15"/>
      <c r="F954" s="16"/>
      <c r="G954" s="16"/>
      <c r="H954" s="16"/>
      <c r="I954" s="15"/>
      <c r="J954" s="15"/>
      <c r="K95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4" s="17" t="str">
        <f>IF(Tasks[[#This Row],[Task]]="","",IFERROR(VLOOKUP(IF(Tasks[[#This Row],[Effort]]="","M",Tasks[[#This Row],[Effort]]),EffortTable,2,FALSE),0))</f>
        <v/>
      </c>
      <c r="N954" t="str">
        <f>IF(Tasks[[#This Row],[Task]]="","",IFERROR(MATCH(Tasks[[#This Row],[Status]],{"Late","Blocked","Due soon"},0),9)*100000+N(Tasks[[#This Row],[Due]]))</f>
        <v/>
      </c>
      <c r="O954" t="str" cm="1">
        <f t="array" aca="1" ref="O95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4" t="str" cm="1">
        <f t="array" ref="P95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4" t="str" cm="1">
        <f t="array" ref="Q95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4" t="str" cm="1">
        <f t="array" ref="R95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5" spans="1:18" x14ac:dyDescent="0.25">
      <c r="A955" s="14" t="str" cm="1">
        <f t="array" ref="A955">IF(Tasks[[#This Row],[Task]]="","","T-"&amp;TEXT(ROW()-ROW(Tasks[#Headers]),"000"))</f>
        <v/>
      </c>
      <c r="B955" s="15"/>
      <c r="C955" s="15"/>
      <c r="D955" s="15"/>
      <c r="E955" s="15"/>
      <c r="F955" s="16"/>
      <c r="G955" s="16"/>
      <c r="H955" s="16"/>
      <c r="I955" s="15"/>
      <c r="J955" s="15"/>
      <c r="K95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5" s="17" t="str">
        <f>IF(Tasks[[#This Row],[Task]]="","",IFERROR(VLOOKUP(IF(Tasks[[#This Row],[Effort]]="","M",Tasks[[#This Row],[Effort]]),EffortTable,2,FALSE),0))</f>
        <v/>
      </c>
      <c r="N955" t="str">
        <f>IF(Tasks[[#This Row],[Task]]="","",IFERROR(MATCH(Tasks[[#This Row],[Status]],{"Late","Blocked","Due soon"},0),9)*100000+N(Tasks[[#This Row],[Due]]))</f>
        <v/>
      </c>
      <c r="O955" t="str" cm="1">
        <f t="array" aca="1" ref="O95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5" t="str" cm="1">
        <f t="array" ref="P95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5" t="str" cm="1">
        <f t="array" ref="Q95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5" t="str" cm="1">
        <f t="array" ref="R95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6" spans="1:18" x14ac:dyDescent="0.25">
      <c r="A956" s="14" t="str" cm="1">
        <f t="array" ref="A956">IF(Tasks[[#This Row],[Task]]="","","T-"&amp;TEXT(ROW()-ROW(Tasks[#Headers]),"000"))</f>
        <v/>
      </c>
      <c r="B956" s="15"/>
      <c r="C956" s="15"/>
      <c r="D956" s="15"/>
      <c r="E956" s="15"/>
      <c r="F956" s="16"/>
      <c r="G956" s="16"/>
      <c r="H956" s="16"/>
      <c r="I956" s="15"/>
      <c r="J956" s="15"/>
      <c r="K95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6" s="17" t="str">
        <f>IF(Tasks[[#This Row],[Task]]="","",IFERROR(VLOOKUP(IF(Tasks[[#This Row],[Effort]]="","M",Tasks[[#This Row],[Effort]]),EffortTable,2,FALSE),0))</f>
        <v/>
      </c>
      <c r="N956" t="str">
        <f>IF(Tasks[[#This Row],[Task]]="","",IFERROR(MATCH(Tasks[[#This Row],[Status]],{"Late","Blocked","Due soon"},0),9)*100000+N(Tasks[[#This Row],[Due]]))</f>
        <v/>
      </c>
      <c r="O956" t="str" cm="1">
        <f t="array" aca="1" ref="O95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6" t="str" cm="1">
        <f t="array" ref="P95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6" t="str" cm="1">
        <f t="array" ref="Q95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6" t="str" cm="1">
        <f t="array" ref="R95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7" spans="1:18" x14ac:dyDescent="0.25">
      <c r="A957" s="14" t="str" cm="1">
        <f t="array" ref="A957">IF(Tasks[[#This Row],[Task]]="","","T-"&amp;TEXT(ROW()-ROW(Tasks[#Headers]),"000"))</f>
        <v/>
      </c>
      <c r="B957" s="15"/>
      <c r="C957" s="15"/>
      <c r="D957" s="15"/>
      <c r="E957" s="15"/>
      <c r="F957" s="16"/>
      <c r="G957" s="16"/>
      <c r="H957" s="16"/>
      <c r="I957" s="15"/>
      <c r="J957" s="15"/>
      <c r="K95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7" s="17" t="str">
        <f>IF(Tasks[[#This Row],[Task]]="","",IFERROR(VLOOKUP(IF(Tasks[[#This Row],[Effort]]="","M",Tasks[[#This Row],[Effort]]),EffortTable,2,FALSE),0))</f>
        <v/>
      </c>
      <c r="N957" t="str">
        <f>IF(Tasks[[#This Row],[Task]]="","",IFERROR(MATCH(Tasks[[#This Row],[Status]],{"Late","Blocked","Due soon"},0),9)*100000+N(Tasks[[#This Row],[Due]]))</f>
        <v/>
      </c>
      <c r="O957" t="str" cm="1">
        <f t="array" aca="1" ref="O95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7" t="str" cm="1">
        <f t="array" ref="P95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7" t="str" cm="1">
        <f t="array" ref="Q95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7" t="str" cm="1">
        <f t="array" ref="R95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8" spans="1:18" x14ac:dyDescent="0.25">
      <c r="A958" s="14" t="str" cm="1">
        <f t="array" ref="A958">IF(Tasks[[#This Row],[Task]]="","","T-"&amp;TEXT(ROW()-ROW(Tasks[#Headers]),"000"))</f>
        <v/>
      </c>
      <c r="B958" s="15"/>
      <c r="C958" s="15"/>
      <c r="D958" s="15"/>
      <c r="E958" s="15"/>
      <c r="F958" s="16"/>
      <c r="G958" s="16"/>
      <c r="H958" s="16"/>
      <c r="I958" s="15"/>
      <c r="J958" s="15"/>
      <c r="K95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8" s="17" t="str">
        <f>IF(Tasks[[#This Row],[Task]]="","",IFERROR(VLOOKUP(IF(Tasks[[#This Row],[Effort]]="","M",Tasks[[#This Row],[Effort]]),EffortTable,2,FALSE),0))</f>
        <v/>
      </c>
      <c r="N958" t="str">
        <f>IF(Tasks[[#This Row],[Task]]="","",IFERROR(MATCH(Tasks[[#This Row],[Status]],{"Late","Blocked","Due soon"},0),9)*100000+N(Tasks[[#This Row],[Due]]))</f>
        <v/>
      </c>
      <c r="O958" t="str" cm="1">
        <f t="array" aca="1" ref="O95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8" t="str" cm="1">
        <f t="array" ref="P95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8" t="str" cm="1">
        <f t="array" ref="Q95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8" t="str" cm="1">
        <f t="array" ref="R95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59" spans="1:18" x14ac:dyDescent="0.25">
      <c r="A959" s="14" t="str" cm="1">
        <f t="array" ref="A959">IF(Tasks[[#This Row],[Task]]="","","T-"&amp;TEXT(ROW()-ROW(Tasks[#Headers]),"000"))</f>
        <v/>
      </c>
      <c r="B959" s="15"/>
      <c r="C959" s="15"/>
      <c r="D959" s="15"/>
      <c r="E959" s="15"/>
      <c r="F959" s="16"/>
      <c r="G959" s="16"/>
      <c r="H959" s="16"/>
      <c r="I959" s="15"/>
      <c r="J959" s="15"/>
      <c r="K95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5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59" s="17" t="str">
        <f>IF(Tasks[[#This Row],[Task]]="","",IFERROR(VLOOKUP(IF(Tasks[[#This Row],[Effort]]="","M",Tasks[[#This Row],[Effort]]),EffortTable,2,FALSE),0))</f>
        <v/>
      </c>
      <c r="N959" t="str">
        <f>IF(Tasks[[#This Row],[Task]]="","",IFERROR(MATCH(Tasks[[#This Row],[Status]],{"Late","Blocked","Due soon"},0),9)*100000+N(Tasks[[#This Row],[Due]]))</f>
        <v/>
      </c>
      <c r="O959" t="str" cm="1">
        <f t="array" aca="1" ref="O95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59" t="str" cm="1">
        <f t="array" ref="P95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59" t="str" cm="1">
        <f t="array" ref="Q95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59" t="str" cm="1">
        <f t="array" ref="R95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0" spans="1:18" x14ac:dyDescent="0.25">
      <c r="A960" s="14" t="str" cm="1">
        <f t="array" ref="A960">IF(Tasks[[#This Row],[Task]]="","","T-"&amp;TEXT(ROW()-ROW(Tasks[#Headers]),"000"))</f>
        <v/>
      </c>
      <c r="B960" s="15"/>
      <c r="C960" s="15"/>
      <c r="D960" s="15"/>
      <c r="E960" s="15"/>
      <c r="F960" s="16"/>
      <c r="G960" s="16"/>
      <c r="H960" s="16"/>
      <c r="I960" s="15"/>
      <c r="J960" s="15"/>
      <c r="K96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0" s="17" t="str">
        <f>IF(Tasks[[#This Row],[Task]]="","",IFERROR(VLOOKUP(IF(Tasks[[#This Row],[Effort]]="","M",Tasks[[#This Row],[Effort]]),EffortTable,2,FALSE),0))</f>
        <v/>
      </c>
      <c r="N960" t="str">
        <f>IF(Tasks[[#This Row],[Task]]="","",IFERROR(MATCH(Tasks[[#This Row],[Status]],{"Late","Blocked","Due soon"},0),9)*100000+N(Tasks[[#This Row],[Due]]))</f>
        <v/>
      </c>
      <c r="O960" t="str" cm="1">
        <f t="array" aca="1" ref="O96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0" t="str" cm="1">
        <f t="array" ref="P96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0" t="str" cm="1">
        <f t="array" ref="Q96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0" t="str" cm="1">
        <f t="array" ref="R96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1" spans="1:18" x14ac:dyDescent="0.25">
      <c r="A961" s="14" t="str" cm="1">
        <f t="array" ref="A961">IF(Tasks[[#This Row],[Task]]="","","T-"&amp;TEXT(ROW()-ROW(Tasks[#Headers]),"000"))</f>
        <v/>
      </c>
      <c r="B961" s="15"/>
      <c r="C961" s="15"/>
      <c r="D961" s="15"/>
      <c r="E961" s="15"/>
      <c r="F961" s="16"/>
      <c r="G961" s="16"/>
      <c r="H961" s="16"/>
      <c r="I961" s="15"/>
      <c r="J961" s="15"/>
      <c r="K96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1" s="17" t="str">
        <f>IF(Tasks[[#This Row],[Task]]="","",IFERROR(VLOOKUP(IF(Tasks[[#This Row],[Effort]]="","M",Tasks[[#This Row],[Effort]]),EffortTable,2,FALSE),0))</f>
        <v/>
      </c>
      <c r="N961" t="str">
        <f>IF(Tasks[[#This Row],[Task]]="","",IFERROR(MATCH(Tasks[[#This Row],[Status]],{"Late","Blocked","Due soon"},0),9)*100000+N(Tasks[[#This Row],[Due]]))</f>
        <v/>
      </c>
      <c r="O961" t="str" cm="1">
        <f t="array" aca="1" ref="O96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1" t="str" cm="1">
        <f t="array" ref="P96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1" t="str" cm="1">
        <f t="array" ref="Q96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1" t="str" cm="1">
        <f t="array" ref="R96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2" spans="1:18" x14ac:dyDescent="0.25">
      <c r="A962" s="14" t="str" cm="1">
        <f t="array" ref="A962">IF(Tasks[[#This Row],[Task]]="","","T-"&amp;TEXT(ROW()-ROW(Tasks[#Headers]),"000"))</f>
        <v/>
      </c>
      <c r="B962" s="15"/>
      <c r="C962" s="15"/>
      <c r="D962" s="15"/>
      <c r="E962" s="15"/>
      <c r="F962" s="16"/>
      <c r="G962" s="16"/>
      <c r="H962" s="16"/>
      <c r="I962" s="15"/>
      <c r="J962" s="15"/>
      <c r="K96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2" s="17" t="str">
        <f>IF(Tasks[[#This Row],[Task]]="","",IFERROR(VLOOKUP(IF(Tasks[[#This Row],[Effort]]="","M",Tasks[[#This Row],[Effort]]),EffortTable,2,FALSE),0))</f>
        <v/>
      </c>
      <c r="N962" t="str">
        <f>IF(Tasks[[#This Row],[Task]]="","",IFERROR(MATCH(Tasks[[#This Row],[Status]],{"Late","Blocked","Due soon"},0),9)*100000+N(Tasks[[#This Row],[Due]]))</f>
        <v/>
      </c>
      <c r="O962" t="str" cm="1">
        <f t="array" aca="1" ref="O96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2" t="str" cm="1">
        <f t="array" ref="P96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2" t="str" cm="1">
        <f t="array" ref="Q96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2" t="str" cm="1">
        <f t="array" ref="R96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3" spans="1:18" x14ac:dyDescent="0.25">
      <c r="A963" s="14" t="str" cm="1">
        <f t="array" ref="A963">IF(Tasks[[#This Row],[Task]]="","","T-"&amp;TEXT(ROW()-ROW(Tasks[#Headers]),"000"))</f>
        <v/>
      </c>
      <c r="B963" s="15"/>
      <c r="C963" s="15"/>
      <c r="D963" s="15"/>
      <c r="E963" s="15"/>
      <c r="F963" s="16"/>
      <c r="G963" s="16"/>
      <c r="H963" s="16"/>
      <c r="I963" s="15"/>
      <c r="J963" s="15"/>
      <c r="K96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3" s="17" t="str">
        <f>IF(Tasks[[#This Row],[Task]]="","",IFERROR(VLOOKUP(IF(Tasks[[#This Row],[Effort]]="","M",Tasks[[#This Row],[Effort]]),EffortTable,2,FALSE),0))</f>
        <v/>
      </c>
      <c r="N963" t="str">
        <f>IF(Tasks[[#This Row],[Task]]="","",IFERROR(MATCH(Tasks[[#This Row],[Status]],{"Late","Blocked","Due soon"},0),9)*100000+N(Tasks[[#This Row],[Due]]))</f>
        <v/>
      </c>
      <c r="O963" t="str" cm="1">
        <f t="array" aca="1" ref="O96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3" t="str" cm="1">
        <f t="array" ref="P96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3" t="str" cm="1">
        <f t="array" ref="Q96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3" t="str" cm="1">
        <f t="array" ref="R96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4" spans="1:18" x14ac:dyDescent="0.25">
      <c r="A964" s="14" t="str" cm="1">
        <f t="array" ref="A964">IF(Tasks[[#This Row],[Task]]="","","T-"&amp;TEXT(ROW()-ROW(Tasks[#Headers]),"000"))</f>
        <v/>
      </c>
      <c r="B964" s="15"/>
      <c r="C964" s="15"/>
      <c r="D964" s="15"/>
      <c r="E964" s="15"/>
      <c r="F964" s="16"/>
      <c r="G964" s="16"/>
      <c r="H964" s="16"/>
      <c r="I964" s="15"/>
      <c r="J964" s="15"/>
      <c r="K96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4" s="17" t="str">
        <f>IF(Tasks[[#This Row],[Task]]="","",IFERROR(VLOOKUP(IF(Tasks[[#This Row],[Effort]]="","M",Tasks[[#This Row],[Effort]]),EffortTable,2,FALSE),0))</f>
        <v/>
      </c>
      <c r="N964" t="str">
        <f>IF(Tasks[[#This Row],[Task]]="","",IFERROR(MATCH(Tasks[[#This Row],[Status]],{"Late","Blocked","Due soon"},0),9)*100000+N(Tasks[[#This Row],[Due]]))</f>
        <v/>
      </c>
      <c r="O964" t="str" cm="1">
        <f t="array" aca="1" ref="O96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4" t="str" cm="1">
        <f t="array" ref="P96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4" t="str" cm="1">
        <f t="array" ref="Q96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4" t="str" cm="1">
        <f t="array" ref="R96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5" spans="1:18" x14ac:dyDescent="0.25">
      <c r="A965" s="14" t="str" cm="1">
        <f t="array" ref="A965">IF(Tasks[[#This Row],[Task]]="","","T-"&amp;TEXT(ROW()-ROW(Tasks[#Headers]),"000"))</f>
        <v/>
      </c>
      <c r="B965" s="15"/>
      <c r="C965" s="15"/>
      <c r="D965" s="15"/>
      <c r="E965" s="15"/>
      <c r="F965" s="16"/>
      <c r="G965" s="16"/>
      <c r="H965" s="16"/>
      <c r="I965" s="15"/>
      <c r="J965" s="15"/>
      <c r="K96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5" s="17" t="str">
        <f>IF(Tasks[[#This Row],[Task]]="","",IFERROR(VLOOKUP(IF(Tasks[[#This Row],[Effort]]="","M",Tasks[[#This Row],[Effort]]),EffortTable,2,FALSE),0))</f>
        <v/>
      </c>
      <c r="N965" t="str">
        <f>IF(Tasks[[#This Row],[Task]]="","",IFERROR(MATCH(Tasks[[#This Row],[Status]],{"Late","Blocked","Due soon"},0),9)*100000+N(Tasks[[#This Row],[Due]]))</f>
        <v/>
      </c>
      <c r="O965" t="str" cm="1">
        <f t="array" aca="1" ref="O96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5" t="str" cm="1">
        <f t="array" ref="P96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5" t="str" cm="1">
        <f t="array" ref="Q96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5" t="str" cm="1">
        <f t="array" ref="R96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6" spans="1:18" x14ac:dyDescent="0.25">
      <c r="A966" s="14" t="str" cm="1">
        <f t="array" ref="A966">IF(Tasks[[#This Row],[Task]]="","","T-"&amp;TEXT(ROW()-ROW(Tasks[#Headers]),"000"))</f>
        <v/>
      </c>
      <c r="B966" s="15"/>
      <c r="C966" s="15"/>
      <c r="D966" s="15"/>
      <c r="E966" s="15"/>
      <c r="F966" s="16"/>
      <c r="G966" s="16"/>
      <c r="H966" s="16"/>
      <c r="I966" s="15"/>
      <c r="J966" s="15"/>
      <c r="K96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6" s="17" t="str">
        <f>IF(Tasks[[#This Row],[Task]]="","",IFERROR(VLOOKUP(IF(Tasks[[#This Row],[Effort]]="","M",Tasks[[#This Row],[Effort]]),EffortTable,2,FALSE),0))</f>
        <v/>
      </c>
      <c r="N966" t="str">
        <f>IF(Tasks[[#This Row],[Task]]="","",IFERROR(MATCH(Tasks[[#This Row],[Status]],{"Late","Blocked","Due soon"},0),9)*100000+N(Tasks[[#This Row],[Due]]))</f>
        <v/>
      </c>
      <c r="O966" t="str" cm="1">
        <f t="array" aca="1" ref="O96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6" t="str" cm="1">
        <f t="array" ref="P96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6" t="str" cm="1">
        <f t="array" ref="Q96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6" t="str" cm="1">
        <f t="array" ref="R96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7" spans="1:18" x14ac:dyDescent="0.25">
      <c r="A967" s="14" t="str" cm="1">
        <f t="array" ref="A967">IF(Tasks[[#This Row],[Task]]="","","T-"&amp;TEXT(ROW()-ROW(Tasks[#Headers]),"000"))</f>
        <v/>
      </c>
      <c r="B967" s="15"/>
      <c r="C967" s="15"/>
      <c r="D967" s="15"/>
      <c r="E967" s="15"/>
      <c r="F967" s="16"/>
      <c r="G967" s="16"/>
      <c r="H967" s="16"/>
      <c r="I967" s="15"/>
      <c r="J967" s="15"/>
      <c r="K96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7" s="17" t="str">
        <f>IF(Tasks[[#This Row],[Task]]="","",IFERROR(VLOOKUP(IF(Tasks[[#This Row],[Effort]]="","M",Tasks[[#This Row],[Effort]]),EffortTable,2,FALSE),0))</f>
        <v/>
      </c>
      <c r="N967" t="str">
        <f>IF(Tasks[[#This Row],[Task]]="","",IFERROR(MATCH(Tasks[[#This Row],[Status]],{"Late","Blocked","Due soon"},0),9)*100000+N(Tasks[[#This Row],[Due]]))</f>
        <v/>
      </c>
      <c r="O967" t="str" cm="1">
        <f t="array" aca="1" ref="O96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7" t="str" cm="1">
        <f t="array" ref="P96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7" t="str" cm="1">
        <f t="array" ref="Q96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7" t="str" cm="1">
        <f t="array" ref="R96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8" spans="1:18" x14ac:dyDescent="0.25">
      <c r="A968" s="14" t="str" cm="1">
        <f t="array" ref="A968">IF(Tasks[[#This Row],[Task]]="","","T-"&amp;TEXT(ROW()-ROW(Tasks[#Headers]),"000"))</f>
        <v/>
      </c>
      <c r="B968" s="15"/>
      <c r="C968" s="15"/>
      <c r="D968" s="15"/>
      <c r="E968" s="15"/>
      <c r="F968" s="16"/>
      <c r="G968" s="16"/>
      <c r="H968" s="16"/>
      <c r="I968" s="15"/>
      <c r="J968" s="15"/>
      <c r="K96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8" s="17" t="str">
        <f>IF(Tasks[[#This Row],[Task]]="","",IFERROR(VLOOKUP(IF(Tasks[[#This Row],[Effort]]="","M",Tasks[[#This Row],[Effort]]),EffortTable,2,FALSE),0))</f>
        <v/>
      </c>
      <c r="N968" t="str">
        <f>IF(Tasks[[#This Row],[Task]]="","",IFERROR(MATCH(Tasks[[#This Row],[Status]],{"Late","Blocked","Due soon"},0),9)*100000+N(Tasks[[#This Row],[Due]]))</f>
        <v/>
      </c>
      <c r="O968" t="str" cm="1">
        <f t="array" aca="1" ref="O96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8" t="str" cm="1">
        <f t="array" ref="P96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8" t="str" cm="1">
        <f t="array" ref="Q96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8" t="str" cm="1">
        <f t="array" ref="R96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69" spans="1:18" x14ac:dyDescent="0.25">
      <c r="A969" s="14" t="str" cm="1">
        <f t="array" ref="A969">IF(Tasks[[#This Row],[Task]]="","","T-"&amp;TEXT(ROW()-ROW(Tasks[#Headers]),"000"))</f>
        <v/>
      </c>
      <c r="B969" s="15"/>
      <c r="C969" s="15"/>
      <c r="D969" s="15"/>
      <c r="E969" s="15"/>
      <c r="F969" s="16"/>
      <c r="G969" s="16"/>
      <c r="H969" s="16"/>
      <c r="I969" s="15"/>
      <c r="J969" s="15"/>
      <c r="K96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6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69" s="17" t="str">
        <f>IF(Tasks[[#This Row],[Task]]="","",IFERROR(VLOOKUP(IF(Tasks[[#This Row],[Effort]]="","M",Tasks[[#This Row],[Effort]]),EffortTable,2,FALSE),0))</f>
        <v/>
      </c>
      <c r="N969" t="str">
        <f>IF(Tasks[[#This Row],[Task]]="","",IFERROR(MATCH(Tasks[[#This Row],[Status]],{"Late","Blocked","Due soon"},0),9)*100000+N(Tasks[[#This Row],[Due]]))</f>
        <v/>
      </c>
      <c r="O969" t="str" cm="1">
        <f t="array" aca="1" ref="O96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69" t="str" cm="1">
        <f t="array" ref="P96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69" t="str" cm="1">
        <f t="array" ref="Q96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69" t="str" cm="1">
        <f t="array" ref="R96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0" spans="1:18" x14ac:dyDescent="0.25">
      <c r="A970" s="14" t="str" cm="1">
        <f t="array" ref="A970">IF(Tasks[[#This Row],[Task]]="","","T-"&amp;TEXT(ROW()-ROW(Tasks[#Headers]),"000"))</f>
        <v/>
      </c>
      <c r="B970" s="15"/>
      <c r="C970" s="15"/>
      <c r="D970" s="15"/>
      <c r="E970" s="15"/>
      <c r="F970" s="16"/>
      <c r="G970" s="16"/>
      <c r="H970" s="16"/>
      <c r="I970" s="15"/>
      <c r="J970" s="15"/>
      <c r="K97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0" s="17" t="str">
        <f>IF(Tasks[[#This Row],[Task]]="","",IFERROR(VLOOKUP(IF(Tasks[[#This Row],[Effort]]="","M",Tasks[[#This Row],[Effort]]),EffortTable,2,FALSE),0))</f>
        <v/>
      </c>
      <c r="N970" t="str">
        <f>IF(Tasks[[#This Row],[Task]]="","",IFERROR(MATCH(Tasks[[#This Row],[Status]],{"Late","Blocked","Due soon"},0),9)*100000+N(Tasks[[#This Row],[Due]]))</f>
        <v/>
      </c>
      <c r="O970" t="str" cm="1">
        <f t="array" aca="1" ref="O97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0" t="str" cm="1">
        <f t="array" ref="P97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0" t="str" cm="1">
        <f t="array" ref="Q97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0" t="str" cm="1">
        <f t="array" ref="R97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1" spans="1:18" x14ac:dyDescent="0.25">
      <c r="A971" s="14" t="str" cm="1">
        <f t="array" ref="A971">IF(Tasks[[#This Row],[Task]]="","","T-"&amp;TEXT(ROW()-ROW(Tasks[#Headers]),"000"))</f>
        <v/>
      </c>
      <c r="B971" s="15"/>
      <c r="C971" s="15"/>
      <c r="D971" s="15"/>
      <c r="E971" s="15"/>
      <c r="F971" s="16"/>
      <c r="G971" s="16"/>
      <c r="H971" s="16"/>
      <c r="I971" s="15"/>
      <c r="J971" s="15"/>
      <c r="K97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1" s="17" t="str">
        <f>IF(Tasks[[#This Row],[Task]]="","",IFERROR(VLOOKUP(IF(Tasks[[#This Row],[Effort]]="","M",Tasks[[#This Row],[Effort]]),EffortTable,2,FALSE),0))</f>
        <v/>
      </c>
      <c r="N971" t="str">
        <f>IF(Tasks[[#This Row],[Task]]="","",IFERROR(MATCH(Tasks[[#This Row],[Status]],{"Late","Blocked","Due soon"},0),9)*100000+N(Tasks[[#This Row],[Due]]))</f>
        <v/>
      </c>
      <c r="O971" t="str" cm="1">
        <f t="array" aca="1" ref="O97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1" t="str" cm="1">
        <f t="array" ref="P97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1" t="str" cm="1">
        <f t="array" ref="Q97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1" t="str" cm="1">
        <f t="array" ref="R97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2" spans="1:18" x14ac:dyDescent="0.25">
      <c r="A972" s="14" t="str" cm="1">
        <f t="array" ref="A972">IF(Tasks[[#This Row],[Task]]="","","T-"&amp;TEXT(ROW()-ROW(Tasks[#Headers]),"000"))</f>
        <v/>
      </c>
      <c r="B972" s="15"/>
      <c r="C972" s="15"/>
      <c r="D972" s="15"/>
      <c r="E972" s="15"/>
      <c r="F972" s="16"/>
      <c r="G972" s="16"/>
      <c r="H972" s="16"/>
      <c r="I972" s="15"/>
      <c r="J972" s="15"/>
      <c r="K97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2" s="17" t="str">
        <f>IF(Tasks[[#This Row],[Task]]="","",IFERROR(VLOOKUP(IF(Tasks[[#This Row],[Effort]]="","M",Tasks[[#This Row],[Effort]]),EffortTable,2,FALSE),0))</f>
        <v/>
      </c>
      <c r="N972" t="str">
        <f>IF(Tasks[[#This Row],[Task]]="","",IFERROR(MATCH(Tasks[[#This Row],[Status]],{"Late","Blocked","Due soon"},0),9)*100000+N(Tasks[[#This Row],[Due]]))</f>
        <v/>
      </c>
      <c r="O972" t="str" cm="1">
        <f t="array" aca="1" ref="O97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2" t="str" cm="1">
        <f t="array" ref="P97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2" t="str" cm="1">
        <f t="array" ref="Q97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2" t="str" cm="1">
        <f t="array" ref="R97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3" spans="1:18" x14ac:dyDescent="0.25">
      <c r="A973" s="14" t="str" cm="1">
        <f t="array" ref="A973">IF(Tasks[[#This Row],[Task]]="","","T-"&amp;TEXT(ROW()-ROW(Tasks[#Headers]),"000"))</f>
        <v/>
      </c>
      <c r="B973" s="15"/>
      <c r="C973" s="15"/>
      <c r="D973" s="15"/>
      <c r="E973" s="15"/>
      <c r="F973" s="16"/>
      <c r="G973" s="16"/>
      <c r="H973" s="16"/>
      <c r="I973" s="15"/>
      <c r="J973" s="15"/>
      <c r="K97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3" s="17" t="str">
        <f>IF(Tasks[[#This Row],[Task]]="","",IFERROR(VLOOKUP(IF(Tasks[[#This Row],[Effort]]="","M",Tasks[[#This Row],[Effort]]),EffortTable,2,FALSE),0))</f>
        <v/>
      </c>
      <c r="N973" t="str">
        <f>IF(Tasks[[#This Row],[Task]]="","",IFERROR(MATCH(Tasks[[#This Row],[Status]],{"Late","Blocked","Due soon"},0),9)*100000+N(Tasks[[#This Row],[Due]]))</f>
        <v/>
      </c>
      <c r="O973" t="str" cm="1">
        <f t="array" aca="1" ref="O97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3" t="str" cm="1">
        <f t="array" ref="P97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3" t="str" cm="1">
        <f t="array" ref="Q97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3" t="str" cm="1">
        <f t="array" ref="R97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4" spans="1:18" x14ac:dyDescent="0.25">
      <c r="A974" s="14" t="str" cm="1">
        <f t="array" ref="A974">IF(Tasks[[#This Row],[Task]]="","","T-"&amp;TEXT(ROW()-ROW(Tasks[#Headers]),"000"))</f>
        <v/>
      </c>
      <c r="B974" s="15"/>
      <c r="C974" s="15"/>
      <c r="D974" s="15"/>
      <c r="E974" s="15"/>
      <c r="F974" s="16"/>
      <c r="G974" s="16"/>
      <c r="H974" s="16"/>
      <c r="I974" s="15"/>
      <c r="J974" s="15"/>
      <c r="K97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4" s="17" t="str">
        <f>IF(Tasks[[#This Row],[Task]]="","",IFERROR(VLOOKUP(IF(Tasks[[#This Row],[Effort]]="","M",Tasks[[#This Row],[Effort]]),EffortTable,2,FALSE),0))</f>
        <v/>
      </c>
      <c r="N974" t="str">
        <f>IF(Tasks[[#This Row],[Task]]="","",IFERROR(MATCH(Tasks[[#This Row],[Status]],{"Late","Blocked","Due soon"},0),9)*100000+N(Tasks[[#This Row],[Due]]))</f>
        <v/>
      </c>
      <c r="O974" t="str" cm="1">
        <f t="array" aca="1" ref="O97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4" t="str" cm="1">
        <f t="array" ref="P97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4" t="str" cm="1">
        <f t="array" ref="Q97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4" t="str" cm="1">
        <f t="array" ref="R97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5" spans="1:18" x14ac:dyDescent="0.25">
      <c r="A975" s="14" t="str" cm="1">
        <f t="array" ref="A975">IF(Tasks[[#This Row],[Task]]="","","T-"&amp;TEXT(ROW()-ROW(Tasks[#Headers]),"000"))</f>
        <v/>
      </c>
      <c r="B975" s="15"/>
      <c r="C975" s="15"/>
      <c r="D975" s="15"/>
      <c r="E975" s="15"/>
      <c r="F975" s="16"/>
      <c r="G975" s="16"/>
      <c r="H975" s="16"/>
      <c r="I975" s="15"/>
      <c r="J975" s="15"/>
      <c r="K97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5" s="17" t="str">
        <f>IF(Tasks[[#This Row],[Task]]="","",IFERROR(VLOOKUP(IF(Tasks[[#This Row],[Effort]]="","M",Tasks[[#This Row],[Effort]]),EffortTable,2,FALSE),0))</f>
        <v/>
      </c>
      <c r="N975" t="str">
        <f>IF(Tasks[[#This Row],[Task]]="","",IFERROR(MATCH(Tasks[[#This Row],[Status]],{"Late","Blocked","Due soon"},0),9)*100000+N(Tasks[[#This Row],[Due]]))</f>
        <v/>
      </c>
      <c r="O975" t="str" cm="1">
        <f t="array" aca="1" ref="O97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5" t="str" cm="1">
        <f t="array" ref="P97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5" t="str" cm="1">
        <f t="array" ref="Q97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5" t="str" cm="1">
        <f t="array" ref="R97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6" spans="1:18" x14ac:dyDescent="0.25">
      <c r="A976" s="14" t="str" cm="1">
        <f t="array" ref="A976">IF(Tasks[[#This Row],[Task]]="","","T-"&amp;TEXT(ROW()-ROW(Tasks[#Headers]),"000"))</f>
        <v/>
      </c>
      <c r="B976" s="15"/>
      <c r="C976" s="15"/>
      <c r="D976" s="15"/>
      <c r="E976" s="15"/>
      <c r="F976" s="16"/>
      <c r="G976" s="16"/>
      <c r="H976" s="16"/>
      <c r="I976" s="15"/>
      <c r="J976" s="15"/>
      <c r="K97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6" s="17" t="str">
        <f>IF(Tasks[[#This Row],[Task]]="","",IFERROR(VLOOKUP(IF(Tasks[[#This Row],[Effort]]="","M",Tasks[[#This Row],[Effort]]),EffortTable,2,FALSE),0))</f>
        <v/>
      </c>
      <c r="N976" t="str">
        <f>IF(Tasks[[#This Row],[Task]]="","",IFERROR(MATCH(Tasks[[#This Row],[Status]],{"Late","Blocked","Due soon"},0),9)*100000+N(Tasks[[#This Row],[Due]]))</f>
        <v/>
      </c>
      <c r="O976" t="str" cm="1">
        <f t="array" aca="1" ref="O97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6" t="str" cm="1">
        <f t="array" ref="P97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6" t="str" cm="1">
        <f t="array" ref="Q97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6" t="str" cm="1">
        <f t="array" ref="R97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7" spans="1:18" x14ac:dyDescent="0.25">
      <c r="A977" s="14" t="str" cm="1">
        <f t="array" ref="A977">IF(Tasks[[#This Row],[Task]]="","","T-"&amp;TEXT(ROW()-ROW(Tasks[#Headers]),"000"))</f>
        <v/>
      </c>
      <c r="B977" s="15"/>
      <c r="C977" s="15"/>
      <c r="D977" s="15"/>
      <c r="E977" s="15"/>
      <c r="F977" s="16"/>
      <c r="G977" s="16"/>
      <c r="H977" s="16"/>
      <c r="I977" s="15"/>
      <c r="J977" s="15"/>
      <c r="K97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7" s="17" t="str">
        <f>IF(Tasks[[#This Row],[Task]]="","",IFERROR(VLOOKUP(IF(Tasks[[#This Row],[Effort]]="","M",Tasks[[#This Row],[Effort]]),EffortTable,2,FALSE),0))</f>
        <v/>
      </c>
      <c r="N977" t="str">
        <f>IF(Tasks[[#This Row],[Task]]="","",IFERROR(MATCH(Tasks[[#This Row],[Status]],{"Late","Blocked","Due soon"},0),9)*100000+N(Tasks[[#This Row],[Due]]))</f>
        <v/>
      </c>
      <c r="O977" t="str" cm="1">
        <f t="array" aca="1" ref="O97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7" t="str" cm="1">
        <f t="array" ref="P97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7" t="str" cm="1">
        <f t="array" ref="Q97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7" t="str" cm="1">
        <f t="array" ref="R97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8" spans="1:18" x14ac:dyDescent="0.25">
      <c r="A978" s="14" t="str" cm="1">
        <f t="array" ref="A978">IF(Tasks[[#This Row],[Task]]="","","T-"&amp;TEXT(ROW()-ROW(Tasks[#Headers]),"000"))</f>
        <v/>
      </c>
      <c r="B978" s="15"/>
      <c r="C978" s="15"/>
      <c r="D978" s="15"/>
      <c r="E978" s="15"/>
      <c r="F978" s="16"/>
      <c r="G978" s="16"/>
      <c r="H978" s="16"/>
      <c r="I978" s="15"/>
      <c r="J978" s="15"/>
      <c r="K97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8" s="17" t="str">
        <f>IF(Tasks[[#This Row],[Task]]="","",IFERROR(VLOOKUP(IF(Tasks[[#This Row],[Effort]]="","M",Tasks[[#This Row],[Effort]]),EffortTable,2,FALSE),0))</f>
        <v/>
      </c>
      <c r="N978" t="str">
        <f>IF(Tasks[[#This Row],[Task]]="","",IFERROR(MATCH(Tasks[[#This Row],[Status]],{"Late","Blocked","Due soon"},0),9)*100000+N(Tasks[[#This Row],[Due]]))</f>
        <v/>
      </c>
      <c r="O978" t="str" cm="1">
        <f t="array" aca="1" ref="O97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8" t="str" cm="1">
        <f t="array" ref="P97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8" t="str" cm="1">
        <f t="array" ref="Q97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8" t="str" cm="1">
        <f t="array" ref="R97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79" spans="1:18" x14ac:dyDescent="0.25">
      <c r="A979" s="14" t="str" cm="1">
        <f t="array" ref="A979">IF(Tasks[[#This Row],[Task]]="","","T-"&amp;TEXT(ROW()-ROW(Tasks[#Headers]),"000"))</f>
        <v/>
      </c>
      <c r="B979" s="15"/>
      <c r="C979" s="15"/>
      <c r="D979" s="15"/>
      <c r="E979" s="15"/>
      <c r="F979" s="16"/>
      <c r="G979" s="16"/>
      <c r="H979" s="16"/>
      <c r="I979" s="15"/>
      <c r="J979" s="15"/>
      <c r="K97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7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79" s="17" t="str">
        <f>IF(Tasks[[#This Row],[Task]]="","",IFERROR(VLOOKUP(IF(Tasks[[#This Row],[Effort]]="","M",Tasks[[#This Row],[Effort]]),EffortTable,2,FALSE),0))</f>
        <v/>
      </c>
      <c r="N979" t="str">
        <f>IF(Tasks[[#This Row],[Task]]="","",IFERROR(MATCH(Tasks[[#This Row],[Status]],{"Late","Blocked","Due soon"},0),9)*100000+N(Tasks[[#This Row],[Due]]))</f>
        <v/>
      </c>
      <c r="O979" t="str" cm="1">
        <f t="array" aca="1" ref="O97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79" t="str" cm="1">
        <f t="array" ref="P97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79" t="str" cm="1">
        <f t="array" ref="Q97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79" t="str" cm="1">
        <f t="array" ref="R97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0" spans="1:18" x14ac:dyDescent="0.25">
      <c r="A980" s="14" t="str" cm="1">
        <f t="array" ref="A980">IF(Tasks[[#This Row],[Task]]="","","T-"&amp;TEXT(ROW()-ROW(Tasks[#Headers]),"000"))</f>
        <v/>
      </c>
      <c r="B980" s="15"/>
      <c r="C980" s="15"/>
      <c r="D980" s="15"/>
      <c r="E980" s="15"/>
      <c r="F980" s="16"/>
      <c r="G980" s="16"/>
      <c r="H980" s="16"/>
      <c r="I980" s="15"/>
      <c r="J980" s="15"/>
      <c r="K98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0" s="17" t="str">
        <f>IF(Tasks[[#This Row],[Task]]="","",IFERROR(VLOOKUP(IF(Tasks[[#This Row],[Effort]]="","M",Tasks[[#This Row],[Effort]]),EffortTable,2,FALSE),0))</f>
        <v/>
      </c>
      <c r="N980" t="str">
        <f>IF(Tasks[[#This Row],[Task]]="","",IFERROR(MATCH(Tasks[[#This Row],[Status]],{"Late","Blocked","Due soon"},0),9)*100000+N(Tasks[[#This Row],[Due]]))</f>
        <v/>
      </c>
      <c r="O980" t="str" cm="1">
        <f t="array" aca="1" ref="O98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0" t="str" cm="1">
        <f t="array" ref="P98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0" t="str" cm="1">
        <f t="array" ref="Q98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0" t="str" cm="1">
        <f t="array" ref="R98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1" spans="1:18" x14ac:dyDescent="0.25">
      <c r="A981" s="14" t="str" cm="1">
        <f t="array" ref="A981">IF(Tasks[[#This Row],[Task]]="","","T-"&amp;TEXT(ROW()-ROW(Tasks[#Headers]),"000"))</f>
        <v/>
      </c>
      <c r="B981" s="15"/>
      <c r="C981" s="15"/>
      <c r="D981" s="15"/>
      <c r="E981" s="15"/>
      <c r="F981" s="16"/>
      <c r="G981" s="16"/>
      <c r="H981" s="16"/>
      <c r="I981" s="15"/>
      <c r="J981" s="15"/>
      <c r="K98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1" s="17" t="str">
        <f>IF(Tasks[[#This Row],[Task]]="","",IFERROR(VLOOKUP(IF(Tasks[[#This Row],[Effort]]="","M",Tasks[[#This Row],[Effort]]),EffortTable,2,FALSE),0))</f>
        <v/>
      </c>
      <c r="N981" t="str">
        <f>IF(Tasks[[#This Row],[Task]]="","",IFERROR(MATCH(Tasks[[#This Row],[Status]],{"Late","Blocked","Due soon"},0),9)*100000+N(Tasks[[#This Row],[Due]]))</f>
        <v/>
      </c>
      <c r="O981" t="str" cm="1">
        <f t="array" aca="1" ref="O98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1" t="str" cm="1">
        <f t="array" ref="P98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1" t="str" cm="1">
        <f t="array" ref="Q98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1" t="str" cm="1">
        <f t="array" ref="R98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2" spans="1:18" x14ac:dyDescent="0.25">
      <c r="A982" s="14" t="str" cm="1">
        <f t="array" ref="A982">IF(Tasks[[#This Row],[Task]]="","","T-"&amp;TEXT(ROW()-ROW(Tasks[#Headers]),"000"))</f>
        <v/>
      </c>
      <c r="B982" s="15"/>
      <c r="C982" s="15"/>
      <c r="D982" s="15"/>
      <c r="E982" s="15"/>
      <c r="F982" s="16"/>
      <c r="G982" s="16"/>
      <c r="H982" s="16"/>
      <c r="I982" s="15"/>
      <c r="J982" s="15"/>
      <c r="K98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2" s="17" t="str">
        <f>IF(Tasks[[#This Row],[Task]]="","",IFERROR(VLOOKUP(IF(Tasks[[#This Row],[Effort]]="","M",Tasks[[#This Row],[Effort]]),EffortTable,2,FALSE),0))</f>
        <v/>
      </c>
      <c r="N982" t="str">
        <f>IF(Tasks[[#This Row],[Task]]="","",IFERROR(MATCH(Tasks[[#This Row],[Status]],{"Late","Blocked","Due soon"},0),9)*100000+N(Tasks[[#This Row],[Due]]))</f>
        <v/>
      </c>
      <c r="O982" t="str" cm="1">
        <f t="array" aca="1" ref="O98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2" t="str" cm="1">
        <f t="array" ref="P98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2" t="str" cm="1">
        <f t="array" ref="Q98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2" t="str" cm="1">
        <f t="array" ref="R98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3" spans="1:18" x14ac:dyDescent="0.25">
      <c r="A983" s="14" t="str" cm="1">
        <f t="array" ref="A983">IF(Tasks[[#This Row],[Task]]="","","T-"&amp;TEXT(ROW()-ROW(Tasks[#Headers]),"000"))</f>
        <v/>
      </c>
      <c r="B983" s="15"/>
      <c r="C983" s="15"/>
      <c r="D983" s="15"/>
      <c r="E983" s="15"/>
      <c r="F983" s="16"/>
      <c r="G983" s="16"/>
      <c r="H983" s="16"/>
      <c r="I983" s="15"/>
      <c r="J983" s="15"/>
      <c r="K98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3" s="17" t="str">
        <f>IF(Tasks[[#This Row],[Task]]="","",IFERROR(VLOOKUP(IF(Tasks[[#This Row],[Effort]]="","M",Tasks[[#This Row],[Effort]]),EffortTable,2,FALSE),0))</f>
        <v/>
      </c>
      <c r="N983" t="str">
        <f>IF(Tasks[[#This Row],[Task]]="","",IFERROR(MATCH(Tasks[[#This Row],[Status]],{"Late","Blocked","Due soon"},0),9)*100000+N(Tasks[[#This Row],[Due]]))</f>
        <v/>
      </c>
      <c r="O983" t="str" cm="1">
        <f t="array" aca="1" ref="O98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3" t="str" cm="1">
        <f t="array" ref="P98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3" t="str" cm="1">
        <f t="array" ref="Q98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3" t="str" cm="1">
        <f t="array" ref="R98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4" spans="1:18" x14ac:dyDescent="0.25">
      <c r="A984" s="14" t="str" cm="1">
        <f t="array" ref="A984">IF(Tasks[[#This Row],[Task]]="","","T-"&amp;TEXT(ROW()-ROW(Tasks[#Headers]),"000"))</f>
        <v/>
      </c>
      <c r="B984" s="15"/>
      <c r="C984" s="15"/>
      <c r="D984" s="15"/>
      <c r="E984" s="15"/>
      <c r="F984" s="16"/>
      <c r="G984" s="16"/>
      <c r="H984" s="16"/>
      <c r="I984" s="15"/>
      <c r="J984" s="15"/>
      <c r="K98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4" s="17" t="str">
        <f>IF(Tasks[[#This Row],[Task]]="","",IFERROR(VLOOKUP(IF(Tasks[[#This Row],[Effort]]="","M",Tasks[[#This Row],[Effort]]),EffortTable,2,FALSE),0))</f>
        <v/>
      </c>
      <c r="N984" t="str">
        <f>IF(Tasks[[#This Row],[Task]]="","",IFERROR(MATCH(Tasks[[#This Row],[Status]],{"Late","Blocked","Due soon"},0),9)*100000+N(Tasks[[#This Row],[Due]]))</f>
        <v/>
      </c>
      <c r="O984" t="str" cm="1">
        <f t="array" aca="1" ref="O98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4" t="str" cm="1">
        <f t="array" ref="P98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4" t="str" cm="1">
        <f t="array" ref="Q98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4" t="str" cm="1">
        <f t="array" ref="R98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5" spans="1:18" x14ac:dyDescent="0.25">
      <c r="A985" s="14" t="str" cm="1">
        <f t="array" ref="A985">IF(Tasks[[#This Row],[Task]]="","","T-"&amp;TEXT(ROW()-ROW(Tasks[#Headers]),"000"))</f>
        <v/>
      </c>
      <c r="B985" s="15"/>
      <c r="C985" s="15"/>
      <c r="D985" s="15"/>
      <c r="E985" s="15"/>
      <c r="F985" s="16"/>
      <c r="G985" s="16"/>
      <c r="H985" s="16"/>
      <c r="I985" s="15"/>
      <c r="J985" s="15"/>
      <c r="K98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5" s="17" t="str">
        <f>IF(Tasks[[#This Row],[Task]]="","",IFERROR(VLOOKUP(IF(Tasks[[#This Row],[Effort]]="","M",Tasks[[#This Row],[Effort]]),EffortTable,2,FALSE),0))</f>
        <v/>
      </c>
      <c r="N985" t="str">
        <f>IF(Tasks[[#This Row],[Task]]="","",IFERROR(MATCH(Tasks[[#This Row],[Status]],{"Late","Blocked","Due soon"},0),9)*100000+N(Tasks[[#This Row],[Due]]))</f>
        <v/>
      </c>
      <c r="O985" t="str" cm="1">
        <f t="array" aca="1" ref="O98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5" t="str" cm="1">
        <f t="array" ref="P98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5" t="str" cm="1">
        <f t="array" ref="Q98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5" t="str" cm="1">
        <f t="array" ref="R98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6" spans="1:18" x14ac:dyDescent="0.25">
      <c r="A986" s="14" t="str" cm="1">
        <f t="array" ref="A986">IF(Tasks[[#This Row],[Task]]="","","T-"&amp;TEXT(ROW()-ROW(Tasks[#Headers]),"000"))</f>
        <v/>
      </c>
      <c r="B986" s="15"/>
      <c r="C986" s="15"/>
      <c r="D986" s="15"/>
      <c r="E986" s="15"/>
      <c r="F986" s="16"/>
      <c r="G986" s="16"/>
      <c r="H986" s="16"/>
      <c r="I986" s="15"/>
      <c r="J986" s="15"/>
      <c r="K98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6" s="17" t="str">
        <f>IF(Tasks[[#This Row],[Task]]="","",IFERROR(VLOOKUP(IF(Tasks[[#This Row],[Effort]]="","M",Tasks[[#This Row],[Effort]]),EffortTable,2,FALSE),0))</f>
        <v/>
      </c>
      <c r="N986" t="str">
        <f>IF(Tasks[[#This Row],[Task]]="","",IFERROR(MATCH(Tasks[[#This Row],[Status]],{"Late","Blocked","Due soon"},0),9)*100000+N(Tasks[[#This Row],[Due]]))</f>
        <v/>
      </c>
      <c r="O986" t="str" cm="1">
        <f t="array" aca="1" ref="O98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6" t="str" cm="1">
        <f t="array" ref="P98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6" t="str" cm="1">
        <f t="array" ref="Q98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6" t="str" cm="1">
        <f t="array" ref="R98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7" spans="1:18" x14ac:dyDescent="0.25">
      <c r="A987" s="14" t="str" cm="1">
        <f t="array" ref="A987">IF(Tasks[[#This Row],[Task]]="","","T-"&amp;TEXT(ROW()-ROW(Tasks[#Headers]),"000"))</f>
        <v/>
      </c>
      <c r="B987" s="15"/>
      <c r="C987" s="15"/>
      <c r="D987" s="15"/>
      <c r="E987" s="15"/>
      <c r="F987" s="16"/>
      <c r="G987" s="16"/>
      <c r="H987" s="16"/>
      <c r="I987" s="15"/>
      <c r="J987" s="15"/>
      <c r="K98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7" s="17" t="str">
        <f>IF(Tasks[[#This Row],[Task]]="","",IFERROR(VLOOKUP(IF(Tasks[[#This Row],[Effort]]="","M",Tasks[[#This Row],[Effort]]),EffortTable,2,FALSE),0))</f>
        <v/>
      </c>
      <c r="N987" t="str">
        <f>IF(Tasks[[#This Row],[Task]]="","",IFERROR(MATCH(Tasks[[#This Row],[Status]],{"Late","Blocked","Due soon"},0),9)*100000+N(Tasks[[#This Row],[Due]]))</f>
        <v/>
      </c>
      <c r="O987" t="str" cm="1">
        <f t="array" aca="1" ref="O98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7" t="str" cm="1">
        <f t="array" ref="P98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7" t="str" cm="1">
        <f t="array" ref="Q98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7" t="str" cm="1">
        <f t="array" ref="R98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8" spans="1:18" x14ac:dyDescent="0.25">
      <c r="A988" s="14" t="str" cm="1">
        <f t="array" ref="A988">IF(Tasks[[#This Row],[Task]]="","","T-"&amp;TEXT(ROW()-ROW(Tasks[#Headers]),"000"))</f>
        <v/>
      </c>
      <c r="B988" s="15"/>
      <c r="C988" s="15"/>
      <c r="D988" s="15"/>
      <c r="E988" s="15"/>
      <c r="F988" s="16"/>
      <c r="G988" s="16"/>
      <c r="H988" s="16"/>
      <c r="I988" s="15"/>
      <c r="J988" s="15"/>
      <c r="K98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8" s="17" t="str">
        <f>IF(Tasks[[#This Row],[Task]]="","",IFERROR(VLOOKUP(IF(Tasks[[#This Row],[Effort]]="","M",Tasks[[#This Row],[Effort]]),EffortTable,2,FALSE),0))</f>
        <v/>
      </c>
      <c r="N988" t="str">
        <f>IF(Tasks[[#This Row],[Task]]="","",IFERROR(MATCH(Tasks[[#This Row],[Status]],{"Late","Blocked","Due soon"},0),9)*100000+N(Tasks[[#This Row],[Due]]))</f>
        <v/>
      </c>
      <c r="O988" t="str" cm="1">
        <f t="array" aca="1" ref="O98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8" t="str" cm="1">
        <f t="array" ref="P98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8" t="str" cm="1">
        <f t="array" ref="Q98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8" t="str" cm="1">
        <f t="array" ref="R98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89" spans="1:18" x14ac:dyDescent="0.25">
      <c r="A989" s="14" t="str" cm="1">
        <f t="array" ref="A989">IF(Tasks[[#This Row],[Task]]="","","T-"&amp;TEXT(ROW()-ROW(Tasks[#Headers]),"000"))</f>
        <v/>
      </c>
      <c r="B989" s="15"/>
      <c r="C989" s="15"/>
      <c r="D989" s="15"/>
      <c r="E989" s="15"/>
      <c r="F989" s="16"/>
      <c r="G989" s="16"/>
      <c r="H989" s="16"/>
      <c r="I989" s="15"/>
      <c r="J989" s="15"/>
      <c r="K98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8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89" s="17" t="str">
        <f>IF(Tasks[[#This Row],[Task]]="","",IFERROR(VLOOKUP(IF(Tasks[[#This Row],[Effort]]="","M",Tasks[[#This Row],[Effort]]),EffortTable,2,FALSE),0))</f>
        <v/>
      </c>
      <c r="N989" t="str">
        <f>IF(Tasks[[#This Row],[Task]]="","",IFERROR(MATCH(Tasks[[#This Row],[Status]],{"Late","Blocked","Due soon"},0),9)*100000+N(Tasks[[#This Row],[Due]]))</f>
        <v/>
      </c>
      <c r="O989" t="str" cm="1">
        <f t="array" aca="1" ref="O98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89" t="str" cm="1">
        <f t="array" ref="P98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89" t="str" cm="1">
        <f t="array" ref="Q98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89" t="str" cm="1">
        <f t="array" ref="R98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0" spans="1:18" x14ac:dyDescent="0.25">
      <c r="A990" s="14" t="str" cm="1">
        <f t="array" ref="A990">IF(Tasks[[#This Row],[Task]]="","","T-"&amp;TEXT(ROW()-ROW(Tasks[#Headers]),"000"))</f>
        <v/>
      </c>
      <c r="B990" s="15"/>
      <c r="C990" s="15"/>
      <c r="D990" s="15"/>
      <c r="E990" s="15"/>
      <c r="F990" s="16"/>
      <c r="G990" s="16"/>
      <c r="H990" s="16"/>
      <c r="I990" s="15"/>
      <c r="J990" s="15"/>
      <c r="K99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0" s="17" t="str">
        <f>IF(Tasks[[#This Row],[Task]]="","",IFERROR(VLOOKUP(IF(Tasks[[#This Row],[Effort]]="","M",Tasks[[#This Row],[Effort]]),EffortTable,2,FALSE),0))</f>
        <v/>
      </c>
      <c r="N990" t="str">
        <f>IF(Tasks[[#This Row],[Task]]="","",IFERROR(MATCH(Tasks[[#This Row],[Status]],{"Late","Blocked","Due soon"},0),9)*100000+N(Tasks[[#This Row],[Due]]))</f>
        <v/>
      </c>
      <c r="O990" t="str" cm="1">
        <f t="array" aca="1" ref="O99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0" t="str" cm="1">
        <f t="array" ref="P99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0" t="str" cm="1">
        <f t="array" ref="Q99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0" t="str" cm="1">
        <f t="array" ref="R99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1" spans="1:18" x14ac:dyDescent="0.25">
      <c r="A991" s="14" t="str" cm="1">
        <f t="array" ref="A991">IF(Tasks[[#This Row],[Task]]="","","T-"&amp;TEXT(ROW()-ROW(Tasks[#Headers]),"000"))</f>
        <v/>
      </c>
      <c r="B991" s="15"/>
      <c r="C991" s="15"/>
      <c r="D991" s="15"/>
      <c r="E991" s="15"/>
      <c r="F991" s="16"/>
      <c r="G991" s="16"/>
      <c r="H991" s="16"/>
      <c r="I991" s="15"/>
      <c r="J991" s="15"/>
      <c r="K99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1" s="17" t="str">
        <f>IF(Tasks[[#This Row],[Task]]="","",IFERROR(VLOOKUP(IF(Tasks[[#This Row],[Effort]]="","M",Tasks[[#This Row],[Effort]]),EffortTable,2,FALSE),0))</f>
        <v/>
      </c>
      <c r="N991" t="str">
        <f>IF(Tasks[[#This Row],[Task]]="","",IFERROR(MATCH(Tasks[[#This Row],[Status]],{"Late","Blocked","Due soon"},0),9)*100000+N(Tasks[[#This Row],[Due]]))</f>
        <v/>
      </c>
      <c r="O991" t="str" cm="1">
        <f t="array" aca="1" ref="O99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1" t="str" cm="1">
        <f t="array" ref="P99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1" t="str" cm="1">
        <f t="array" ref="Q99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1" t="str" cm="1">
        <f t="array" ref="R99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2" spans="1:18" x14ac:dyDescent="0.25">
      <c r="A992" s="14" t="str" cm="1">
        <f t="array" ref="A992">IF(Tasks[[#This Row],[Task]]="","","T-"&amp;TEXT(ROW()-ROW(Tasks[#Headers]),"000"))</f>
        <v/>
      </c>
      <c r="B992" s="15"/>
      <c r="C992" s="15"/>
      <c r="D992" s="15"/>
      <c r="E992" s="15"/>
      <c r="F992" s="16"/>
      <c r="G992" s="16"/>
      <c r="H992" s="16"/>
      <c r="I992" s="15"/>
      <c r="J992" s="15"/>
      <c r="K99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2" s="17" t="str">
        <f>IF(Tasks[[#This Row],[Task]]="","",IFERROR(VLOOKUP(IF(Tasks[[#This Row],[Effort]]="","M",Tasks[[#This Row],[Effort]]),EffortTable,2,FALSE),0))</f>
        <v/>
      </c>
      <c r="N992" t="str">
        <f>IF(Tasks[[#This Row],[Task]]="","",IFERROR(MATCH(Tasks[[#This Row],[Status]],{"Late","Blocked","Due soon"},0),9)*100000+N(Tasks[[#This Row],[Due]]))</f>
        <v/>
      </c>
      <c r="O992" t="str" cm="1">
        <f t="array" aca="1" ref="O99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2" t="str" cm="1">
        <f t="array" ref="P99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2" t="str" cm="1">
        <f t="array" ref="Q99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2" t="str" cm="1">
        <f t="array" ref="R99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3" spans="1:18" x14ac:dyDescent="0.25">
      <c r="A993" s="14" t="str" cm="1">
        <f t="array" ref="A993">IF(Tasks[[#This Row],[Task]]="","","T-"&amp;TEXT(ROW()-ROW(Tasks[#Headers]),"000"))</f>
        <v/>
      </c>
      <c r="B993" s="15"/>
      <c r="C993" s="15"/>
      <c r="D993" s="15"/>
      <c r="E993" s="15"/>
      <c r="F993" s="16"/>
      <c r="G993" s="16"/>
      <c r="H993" s="16"/>
      <c r="I993" s="15"/>
      <c r="J993" s="15"/>
      <c r="K99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3" s="17" t="str">
        <f>IF(Tasks[[#This Row],[Task]]="","",IFERROR(VLOOKUP(IF(Tasks[[#This Row],[Effort]]="","M",Tasks[[#This Row],[Effort]]),EffortTable,2,FALSE),0))</f>
        <v/>
      </c>
      <c r="N993" t="str">
        <f>IF(Tasks[[#This Row],[Task]]="","",IFERROR(MATCH(Tasks[[#This Row],[Status]],{"Late","Blocked","Due soon"},0),9)*100000+N(Tasks[[#This Row],[Due]]))</f>
        <v/>
      </c>
      <c r="O993" t="str" cm="1">
        <f t="array" aca="1" ref="O99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3" t="str" cm="1">
        <f t="array" ref="P99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3" t="str" cm="1">
        <f t="array" ref="Q99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3" t="str" cm="1">
        <f t="array" ref="R99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4" spans="1:18" x14ac:dyDescent="0.25">
      <c r="A994" s="14" t="str" cm="1">
        <f t="array" ref="A994">IF(Tasks[[#This Row],[Task]]="","","T-"&amp;TEXT(ROW()-ROW(Tasks[#Headers]),"000"))</f>
        <v/>
      </c>
      <c r="B994" s="15"/>
      <c r="C994" s="15"/>
      <c r="D994" s="15"/>
      <c r="E994" s="15"/>
      <c r="F994" s="16"/>
      <c r="G994" s="16"/>
      <c r="H994" s="16"/>
      <c r="I994" s="15"/>
      <c r="J994" s="15"/>
      <c r="K99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4" s="17" t="str">
        <f>IF(Tasks[[#This Row],[Task]]="","",IFERROR(VLOOKUP(IF(Tasks[[#This Row],[Effort]]="","M",Tasks[[#This Row],[Effort]]),EffortTable,2,FALSE),0))</f>
        <v/>
      </c>
      <c r="N994" t="str">
        <f>IF(Tasks[[#This Row],[Task]]="","",IFERROR(MATCH(Tasks[[#This Row],[Status]],{"Late","Blocked","Due soon"},0),9)*100000+N(Tasks[[#This Row],[Due]]))</f>
        <v/>
      </c>
      <c r="O994" t="str" cm="1">
        <f t="array" aca="1" ref="O99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4" t="str" cm="1">
        <f t="array" ref="P99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4" t="str" cm="1">
        <f t="array" ref="Q99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4" t="str" cm="1">
        <f t="array" ref="R99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5" spans="1:18" x14ac:dyDescent="0.25">
      <c r="A995" s="14" t="str" cm="1">
        <f t="array" ref="A995">IF(Tasks[[#This Row],[Task]]="","","T-"&amp;TEXT(ROW()-ROW(Tasks[#Headers]),"000"))</f>
        <v/>
      </c>
      <c r="B995" s="15"/>
      <c r="C995" s="15"/>
      <c r="D995" s="15"/>
      <c r="E995" s="15"/>
      <c r="F995" s="16"/>
      <c r="G995" s="16"/>
      <c r="H995" s="16"/>
      <c r="I995" s="15"/>
      <c r="J995" s="15"/>
      <c r="K995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5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5" s="17" t="str">
        <f>IF(Tasks[[#This Row],[Task]]="","",IFERROR(VLOOKUP(IF(Tasks[[#This Row],[Effort]]="","M",Tasks[[#This Row],[Effort]]),EffortTable,2,FALSE),0))</f>
        <v/>
      </c>
      <c r="N995" t="str">
        <f>IF(Tasks[[#This Row],[Task]]="","",IFERROR(MATCH(Tasks[[#This Row],[Status]],{"Late","Blocked","Due soon"},0),9)*100000+N(Tasks[[#This Row],[Due]]))</f>
        <v/>
      </c>
      <c r="O995" t="str" cm="1">
        <f t="array" aca="1" ref="O995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5" t="str" cm="1">
        <f t="array" ref="P995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5" t="str" cm="1">
        <f t="array" ref="Q995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5" t="str" cm="1">
        <f t="array" ref="R995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6" spans="1:18" x14ac:dyDescent="0.25">
      <c r="A996" s="14" t="str" cm="1">
        <f t="array" ref="A996">IF(Tasks[[#This Row],[Task]]="","","T-"&amp;TEXT(ROW()-ROW(Tasks[#Headers]),"000"))</f>
        <v/>
      </c>
      <c r="B996" s="15"/>
      <c r="C996" s="15"/>
      <c r="D996" s="15"/>
      <c r="E996" s="15"/>
      <c r="F996" s="16"/>
      <c r="G996" s="16"/>
      <c r="H996" s="16"/>
      <c r="I996" s="15"/>
      <c r="J996" s="15"/>
      <c r="K996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6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6" s="17" t="str">
        <f>IF(Tasks[[#This Row],[Task]]="","",IFERROR(VLOOKUP(IF(Tasks[[#This Row],[Effort]]="","M",Tasks[[#This Row],[Effort]]),EffortTable,2,FALSE),0))</f>
        <v/>
      </c>
      <c r="N996" t="str">
        <f>IF(Tasks[[#This Row],[Task]]="","",IFERROR(MATCH(Tasks[[#This Row],[Status]],{"Late","Blocked","Due soon"},0),9)*100000+N(Tasks[[#This Row],[Due]]))</f>
        <v/>
      </c>
      <c r="O996" t="str" cm="1">
        <f t="array" aca="1" ref="O996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6" t="str" cm="1">
        <f t="array" ref="P996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6" t="str" cm="1">
        <f t="array" ref="Q996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6" t="str" cm="1">
        <f t="array" ref="R996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7" spans="1:18" x14ac:dyDescent="0.25">
      <c r="A997" s="14" t="str" cm="1">
        <f t="array" ref="A997">IF(Tasks[[#This Row],[Task]]="","","T-"&amp;TEXT(ROW()-ROW(Tasks[#Headers]),"000"))</f>
        <v/>
      </c>
      <c r="B997" s="15"/>
      <c r="C997" s="15"/>
      <c r="D997" s="15"/>
      <c r="E997" s="15"/>
      <c r="F997" s="16"/>
      <c r="G997" s="16"/>
      <c r="H997" s="16"/>
      <c r="I997" s="15"/>
      <c r="J997" s="15"/>
      <c r="K997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7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7" s="17" t="str">
        <f>IF(Tasks[[#This Row],[Task]]="","",IFERROR(VLOOKUP(IF(Tasks[[#This Row],[Effort]]="","M",Tasks[[#This Row],[Effort]]),EffortTable,2,FALSE),0))</f>
        <v/>
      </c>
      <c r="N997" t="str">
        <f>IF(Tasks[[#This Row],[Task]]="","",IFERROR(MATCH(Tasks[[#This Row],[Status]],{"Late","Blocked","Due soon"},0),9)*100000+N(Tasks[[#This Row],[Due]]))</f>
        <v/>
      </c>
      <c r="O997" t="str" cm="1">
        <f t="array" aca="1" ref="O997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7" t="str" cm="1">
        <f t="array" ref="P997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7" t="str" cm="1">
        <f t="array" ref="Q997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7" t="str" cm="1">
        <f t="array" ref="R997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8" spans="1:18" x14ac:dyDescent="0.25">
      <c r="A998" s="14" t="str" cm="1">
        <f t="array" ref="A998">IF(Tasks[[#This Row],[Task]]="","","T-"&amp;TEXT(ROW()-ROW(Tasks[#Headers]),"000"))</f>
        <v/>
      </c>
      <c r="B998" s="15"/>
      <c r="C998" s="15"/>
      <c r="D998" s="15"/>
      <c r="E998" s="15"/>
      <c r="F998" s="16"/>
      <c r="G998" s="16"/>
      <c r="H998" s="16"/>
      <c r="I998" s="15"/>
      <c r="J998" s="15"/>
      <c r="K998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8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8" s="17" t="str">
        <f>IF(Tasks[[#This Row],[Task]]="","",IFERROR(VLOOKUP(IF(Tasks[[#This Row],[Effort]]="","M",Tasks[[#This Row],[Effort]]),EffortTable,2,FALSE),0))</f>
        <v/>
      </c>
      <c r="N998" t="str">
        <f>IF(Tasks[[#This Row],[Task]]="","",IFERROR(MATCH(Tasks[[#This Row],[Status]],{"Late","Blocked","Due soon"},0),9)*100000+N(Tasks[[#This Row],[Due]]))</f>
        <v/>
      </c>
      <c r="O998" t="str" cm="1">
        <f t="array" aca="1" ref="O998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8" t="str" cm="1">
        <f t="array" ref="P998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8" t="str" cm="1">
        <f t="array" ref="Q998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8" t="str" cm="1">
        <f t="array" ref="R998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999" spans="1:18" x14ac:dyDescent="0.25">
      <c r="A999" s="14" t="str" cm="1">
        <f t="array" ref="A999">IF(Tasks[[#This Row],[Task]]="","","T-"&amp;TEXT(ROW()-ROW(Tasks[#Headers]),"000"))</f>
        <v/>
      </c>
      <c r="B999" s="15"/>
      <c r="C999" s="15"/>
      <c r="D999" s="15"/>
      <c r="E999" s="15"/>
      <c r="F999" s="16"/>
      <c r="G999" s="16"/>
      <c r="H999" s="16"/>
      <c r="I999" s="15"/>
      <c r="J999" s="15"/>
      <c r="K999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999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999" s="17" t="str">
        <f>IF(Tasks[[#This Row],[Task]]="","",IFERROR(VLOOKUP(IF(Tasks[[#This Row],[Effort]]="","M",Tasks[[#This Row],[Effort]]),EffortTable,2,FALSE),0))</f>
        <v/>
      </c>
      <c r="N999" t="str">
        <f>IF(Tasks[[#This Row],[Task]]="","",IFERROR(MATCH(Tasks[[#This Row],[Status]],{"Late","Blocked","Due soon"},0),9)*100000+N(Tasks[[#This Row],[Due]]))</f>
        <v/>
      </c>
      <c r="O999" t="str" cm="1">
        <f t="array" aca="1" ref="O999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999" t="str" cm="1">
        <f t="array" ref="P999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999" t="str" cm="1">
        <f t="array" ref="Q999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999" t="str" cm="1">
        <f t="array" ref="R999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0" spans="1:18" x14ac:dyDescent="0.25">
      <c r="A1000" s="14" t="str" cm="1">
        <f t="array" ref="A1000">IF(Tasks[[#This Row],[Task]]="","","T-"&amp;TEXT(ROW()-ROW(Tasks[#Headers]),"000"))</f>
        <v/>
      </c>
      <c r="B1000" s="15"/>
      <c r="C1000" s="15"/>
      <c r="D1000" s="15"/>
      <c r="E1000" s="15"/>
      <c r="F1000" s="16"/>
      <c r="G1000" s="16"/>
      <c r="H1000" s="16"/>
      <c r="I1000" s="15"/>
      <c r="J1000" s="15"/>
      <c r="K1000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0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0" s="17" t="str">
        <f>IF(Tasks[[#This Row],[Task]]="","",IFERROR(VLOOKUP(IF(Tasks[[#This Row],[Effort]]="","M",Tasks[[#This Row],[Effort]]),EffortTable,2,FALSE),0))</f>
        <v/>
      </c>
      <c r="N1000" t="str">
        <f>IF(Tasks[[#This Row],[Task]]="","",IFERROR(MATCH(Tasks[[#This Row],[Status]],{"Late","Blocked","Due soon"},0),9)*100000+N(Tasks[[#This Row],[Due]]))</f>
        <v/>
      </c>
      <c r="O1000" t="str" cm="1">
        <f t="array" aca="1" ref="O1000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0" t="str" cm="1">
        <f t="array" ref="P1000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0" t="str" cm="1">
        <f t="array" ref="Q1000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0" t="str" cm="1">
        <f t="array" ref="R1000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1" spans="1:18" x14ac:dyDescent="0.25">
      <c r="A1001" s="14" t="str" cm="1">
        <f t="array" ref="A1001">IF(Tasks[[#This Row],[Task]]="","","T-"&amp;TEXT(ROW()-ROW(Tasks[#Headers]),"000"))</f>
        <v/>
      </c>
      <c r="B1001" s="15"/>
      <c r="C1001" s="15"/>
      <c r="D1001" s="15"/>
      <c r="E1001" s="15"/>
      <c r="F1001" s="16"/>
      <c r="G1001" s="16"/>
      <c r="H1001" s="16"/>
      <c r="I1001" s="15"/>
      <c r="J1001" s="15"/>
      <c r="K1001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1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1" s="17" t="str">
        <f>IF(Tasks[[#This Row],[Task]]="","",IFERROR(VLOOKUP(IF(Tasks[[#This Row],[Effort]]="","M",Tasks[[#This Row],[Effort]]),EffortTable,2,FALSE),0))</f>
        <v/>
      </c>
      <c r="N1001" t="str">
        <f>IF(Tasks[[#This Row],[Task]]="","",IFERROR(MATCH(Tasks[[#This Row],[Status]],{"Late","Blocked","Due soon"},0),9)*100000+N(Tasks[[#This Row],[Due]]))</f>
        <v/>
      </c>
      <c r="O1001" t="str" cm="1">
        <f t="array" aca="1" ref="O1001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1" t="str" cm="1">
        <f t="array" ref="P1001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1" t="str" cm="1">
        <f t="array" ref="Q1001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1" t="str" cm="1">
        <f t="array" ref="R1001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2" spans="1:18" x14ac:dyDescent="0.25">
      <c r="A1002" s="14" t="str" cm="1">
        <f t="array" ref="A1002">IF(Tasks[[#This Row],[Task]]="","","T-"&amp;TEXT(ROW()-ROW(Tasks[#Headers]),"000"))</f>
        <v/>
      </c>
      <c r="B1002" s="15"/>
      <c r="C1002" s="15"/>
      <c r="D1002" s="15"/>
      <c r="E1002" s="15"/>
      <c r="F1002" s="16"/>
      <c r="G1002" s="16"/>
      <c r="H1002" s="16"/>
      <c r="I1002" s="15"/>
      <c r="J1002" s="15"/>
      <c r="K1002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2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2" s="17" t="str">
        <f>IF(Tasks[[#This Row],[Task]]="","",IFERROR(VLOOKUP(IF(Tasks[[#This Row],[Effort]]="","M",Tasks[[#This Row],[Effort]]),EffortTable,2,FALSE),0))</f>
        <v/>
      </c>
      <c r="N1002" t="str">
        <f>IF(Tasks[[#This Row],[Task]]="","",IFERROR(MATCH(Tasks[[#This Row],[Status]],{"Late","Blocked","Due soon"},0),9)*100000+N(Tasks[[#This Row],[Due]]))</f>
        <v/>
      </c>
      <c r="O1002" t="str" cm="1">
        <f t="array" aca="1" ref="O1002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2" t="str" cm="1">
        <f t="array" ref="P1002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2" t="str" cm="1">
        <f t="array" ref="Q1002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2" t="str" cm="1">
        <f t="array" ref="R1002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3" spans="1:18" x14ac:dyDescent="0.25">
      <c r="A1003" s="14" t="str" cm="1">
        <f t="array" ref="A1003">IF(Tasks[[#This Row],[Task]]="","","T-"&amp;TEXT(ROW()-ROW(Tasks[#Headers]),"000"))</f>
        <v/>
      </c>
      <c r="B1003" s="15"/>
      <c r="C1003" s="15"/>
      <c r="D1003" s="15"/>
      <c r="E1003" s="15"/>
      <c r="F1003" s="16"/>
      <c r="G1003" s="16"/>
      <c r="H1003" s="16"/>
      <c r="I1003" s="15"/>
      <c r="J1003" s="15"/>
      <c r="K1003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3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3" s="17" t="str">
        <f>IF(Tasks[[#This Row],[Task]]="","",IFERROR(VLOOKUP(IF(Tasks[[#This Row],[Effort]]="","M",Tasks[[#This Row],[Effort]]),EffortTable,2,FALSE),0))</f>
        <v/>
      </c>
      <c r="N1003" t="str">
        <f>IF(Tasks[[#This Row],[Task]]="","",IFERROR(MATCH(Tasks[[#This Row],[Status]],{"Late","Blocked","Due soon"},0),9)*100000+N(Tasks[[#This Row],[Due]]))</f>
        <v/>
      </c>
      <c r="O1003" t="str" cm="1">
        <f t="array" aca="1" ref="O1003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3" t="str" cm="1">
        <f t="array" ref="P1003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3" t="str" cm="1">
        <f t="array" ref="Q1003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3" t="str" cm="1">
        <f t="array" ref="R1003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  <row r="1004" spans="1:18" x14ac:dyDescent="0.25">
      <c r="A1004" s="14" t="str" cm="1">
        <f t="array" ref="A1004">IF(Tasks[[#This Row],[Task]]="","","T-"&amp;TEXT(ROW()-ROW(Tasks[#Headers]),"000"))</f>
        <v/>
      </c>
      <c r="B1004" s="15"/>
      <c r="C1004" s="15"/>
      <c r="D1004" s="15"/>
      <c r="E1004" s="15"/>
      <c r="F1004" s="16"/>
      <c r="G1004" s="16"/>
      <c r="H1004" s="16"/>
      <c r="I1004" s="15"/>
      <c r="J1004" s="15"/>
      <c r="K1004" s="17" t="str">
        <f>IF(Tasks[[#This Row],[Task]]="","",IF(Tasks[[#This Row],[Completed]]&lt;&gt;"","Done",IF(Tasks[[#This Row],[Blocked]]="Yes","Blocked",IF(Tasks[[#This Row],[Due]]="","No due date",IF(Tasks[[#This Row],[Due]]&lt;ReportDate,"Late",IF(AND(Tasks[[#This Row],[Start]]&lt;&gt;"",Tasks[[#This Row],[Start]]&gt;ReportDate),"Not started",IF(NETWORKDAYS.INTL(ReportDate+1,Tasks[[#This Row],[Due]],WeekendCode,Holidays)&lt;=DueSoonDays,"Due soon","On track")))))))</f>
        <v/>
      </c>
      <c r="L1004" s="17" t="str">
        <f>IF(OR(Tasks[[#This Row],[Task]]="",Tasks[[#This Row],[Due]]=""),"",IF(Tasks[[#This Row],[Completed]]&lt;&gt;"","Done "&amp;TEXT(Tasks[[#This Row],[Completed]],"[$-409]d mmm"),IF(Tasks[[#This Row],[Due]]&lt;ReportDate,_xlfn.LET(_xlpm.n,NETWORKDAYS.INTL(Tasks[[#This Row],[Due]]+1,ReportDate,WeekendCode,Holidays),IF(_xlpm.n=0,"Was due "&amp;TEXT(Tasks[[#This Row],[Due]],"[$-409]ddd d mmm"),_xlpm.n&amp;IF(_xlpm.n=1," working day late"," working days late"))),IF(Tasks[[#This Row],[Due]]=ReportDate,"Due today",_xlfn.LET(_xlpm.n,NETWORKDAYS.INTL(ReportDate+1,Tasks[[#This Row],[Due]],WeekendCode,Holidays),IF(_xlpm.n=0,"Due "&amp;TEXT(Tasks[[#This Row],[Due]],"[$-409]ddd d mmm"),_xlpm.n&amp;IF(_xlpm.n=1," working day left"," working days left")))))))</f>
        <v/>
      </c>
      <c r="M1004" s="17" t="str">
        <f>IF(Tasks[[#This Row],[Task]]="","",IFERROR(VLOOKUP(IF(Tasks[[#This Row],[Effort]]="","M",Tasks[[#This Row],[Effort]]),EffortTable,2,FALSE),0))</f>
        <v/>
      </c>
      <c r="N1004" t="str">
        <f>IF(Tasks[[#This Row],[Task]]="","",IFERROR(MATCH(Tasks[[#This Row],[Status]],{"Late","Blocked","Due soon"},0),9)*100000+N(Tasks[[#This Row],[Due]]))</f>
        <v/>
      </c>
      <c r="O1004" t="str" cm="1">
        <f t="array" aca="1" ref="O1004" ca="1">IF(AND(Tasks[[#This Row],[Completed]]&lt;&gt;"",Tasks[[#This Row],[Completed]]&gt;ReportDate-7,Tasks[[#This Row],[Completed]]&lt;=ReportDate),_xlfn.LET(_xlpm.wxa,"- "&amp;Tasks[[#This Row],[Task]]&amp;" ("&amp;Tasks[[#This Row],[Owner]]&amp;")",IF(LEN(_xlpm.wxa)&lt;=100,_xlpm.wxa,_xlfn.LET(_xlpm.wka,_xlfn.SEQUENCE(101),_xlpm.wsa,MAX(IF(MID(_xlpm.wxa,_xlpm.wka,1)="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P1004" t="str" cm="1">
        <f t="array" ref="P1004">IF(Tasks[[#This Row],[Status]]="Late",_xlfn.LET(_xlpm.wxa,"- "&amp;Tasks[[#This Row],[Task]]&amp;" ("&amp;Tasks[[#This Row],[Owner]]&amp;"), "&amp;LOWER(LEFT(Tasks[[#This Row],[Days]],1))&amp;MID(Tasks[[#This Row],[Days]],2,999)&amp;IF(Tasks[[#This Row],[Notes]]&lt;&gt;"",".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Q1004" t="str" cm="1">
        <f t="array" ref="Q1004">IF(Tasks[[#This Row],[Status]]="Blocked",_xlfn.LET(_xlpm.wxa,"- "&amp;Tasks[[#This Row],[Task]]&amp;" ("&amp;Tasks[[#This Row],[Owner]]&amp;")"&amp;IF(Tasks[[#This Row],[Notes]]&lt;&gt;"",": "&amp;SUBSTITUTE(Tasks[[#This Row],[Notes]],CHAR(10),CHAR(10)&amp;"  "),""),IF(LEN(_xlpm.wxa)&lt;=100,_xlpm.wxa,_xlfn.LET(_xlpm.wka,_xlfn.SEQUENCE(101),_xlpm.wsa,MAX(IF(MID(_xlpm.wxa,_xlpm.wka,1)="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  <c r="R1004" t="str" cm="1">
        <f t="array" ref="R1004">IF(Tasks[[#This Row],[Status]]="Due soon",_xlfn.LET(_xlpm.wxa,"- "&amp;Tasks[[#This Row],[Task]]&amp;" ("&amp;Tasks[[#This Row],[Owner]]&amp;"), due "&amp;TEXT(Tasks[[#This Row],[Due]],"[$-409]ddd d mmm"),IF(LEN(_xlpm.wxa)&lt;=100,_xlpm.wxa,_xlfn.LET(_xlpm.wka,_xlfn.SEQUENCE(101),_xlpm.wsa,MAX(IF(MID(_xlpm.wxa,_xlpm.wka,1)=" ",_xlpm.wka,0)),_xlpm.wca,IF(_xlpm.wsa&lt;30,101,_xlpm.wsa),LEFT(_xlpm.wxa,_xlpm.wca-1)&amp;CHAR(10)&amp;_xlfn.LET(_xlpm.wxb,"  "&amp;MID(_xlpm.wxa,_xlpm.wca+IF(_xlpm.wsa&lt;30,0,1),9999),IF(LEN(_xlpm.wxb)&lt;=100,_xlpm.wxb,_xlfn.LET(_xlpm.wkb,_xlfn.SEQUENCE(101),_xlpm.wsb,MAX(IF(MID(_xlpm.wxb,_xlpm.wkb,1)=" ",_xlpm.wkb,0)),_xlpm.wcb,IF(_xlpm.wsb&lt;30,101,_xlpm.wsb),LEFT(_xlpm.wxb,_xlpm.wcb-1)&amp;CHAR(10)&amp;"  "&amp;MID(_xlpm.wxb,_xlpm.wcb+IF(_xlpm.wsb&lt;30,0,1),9999))))))),"")</f>
        <v/>
      </c>
    </row>
  </sheetData>
  <conditionalFormatting sqref="A5:J1005">
    <cfRule type="expression" dxfId="19" priority="2">
      <formula>$H5&lt;&gt;""</formula>
    </cfRule>
  </conditionalFormatting>
  <conditionalFormatting sqref="D5:D1005">
    <cfRule type="expression" dxfId="18" priority="10">
      <formula>AND($D5="High",$H5="")</formula>
    </cfRule>
  </conditionalFormatting>
  <conditionalFormatting sqref="E5:E1004">
    <cfRule type="expression" dxfId="17" priority="1" stopIfTrue="1">
      <formula>AND($B5&lt;&gt;"",$E5="")</formula>
    </cfRule>
  </conditionalFormatting>
  <conditionalFormatting sqref="G5:G1005">
    <cfRule type="expression" dxfId="16" priority="9">
      <formula>$K5="Late"</formula>
    </cfRule>
  </conditionalFormatting>
  <conditionalFormatting sqref="K5:K1005">
    <cfRule type="expression" dxfId="15" priority="3">
      <formula>$K5="Done"</formula>
    </cfRule>
    <cfRule type="expression" dxfId="14" priority="4">
      <formula>$K5="Late"</formula>
    </cfRule>
    <cfRule type="expression" dxfId="13" priority="5">
      <formula>$K5="Blocked"</formula>
    </cfRule>
    <cfRule type="expression" dxfId="12" priority="6">
      <formula>$K5="Due soon"</formula>
    </cfRule>
    <cfRule type="expression" dxfId="11" priority="7">
      <formula>$K5="On track"</formula>
    </cfRule>
    <cfRule type="expression" dxfId="10" priority="8">
      <formula>$K5="Not started"</formula>
    </cfRule>
  </conditionalFormatting>
  <conditionalFormatting sqref="L5:L1005">
    <cfRule type="expression" dxfId="9" priority="11">
      <formula>$K5="Late"</formula>
    </cfRule>
  </conditionalFormatting>
  <dataValidations count="5">
    <dataValidation type="list" allowBlank="1" sqref="D5:D1005" xr:uid="{00000000-0002-0000-0100-000000000000}">
      <formula1>"High,Medium,Low"</formula1>
    </dataValidation>
    <dataValidation type="list" allowBlank="1" sqref="E5:E1005" xr:uid="{00000000-0002-0000-0100-000001000000}">
      <formula1>"S,M,L"</formula1>
    </dataValidation>
    <dataValidation type="list" allowBlank="1" sqref="I5:I1005" xr:uid="{00000000-0002-0000-0100-000002000000}">
      <formula1>"Yes"</formula1>
    </dataValidation>
    <dataValidation type="list" allowBlank="1" sqref="C5:C1005" xr:uid="{00000000-0002-0000-0100-000003000000}">
      <formula1>Members</formula1>
    </dataValidation>
    <dataValidation type="date" operator="greaterThan" allowBlank="1" showErrorMessage="1" errorTitle="Date" error="Please type a date, for example 20 Oct 2026." sqref="F5:F1005 G5:G1005 H5:H1005" xr:uid="{00000000-0002-0000-0100-000004000000}">
      <formula1>DATE(2000,1,1)</formula1>
    </dataValidation>
  </dataValidations>
  <pageMargins left="0.75" right="0.75" top="1" bottom="1" header="0.5" footer="0.5"/>
  <pageSetup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5687"/>
    <pageSetUpPr fitToPage="1"/>
  </sheetPr>
  <dimension ref="A1:R46"/>
  <sheetViews>
    <sheetView showGridLines="0" zoomScale="90" workbookViewId="0"/>
  </sheetViews>
  <sheetFormatPr defaultRowHeight="15" x14ac:dyDescent="0.25"/>
  <cols>
    <col min="1" max="1" width="3" customWidth="1"/>
    <col min="2" max="2" width="16" customWidth="1"/>
    <col min="3" max="3" width="13" customWidth="1"/>
    <col min="4" max="4" width="14" customWidth="1"/>
    <col min="5" max="5" width="8" customWidth="1"/>
    <col min="6" max="6" width="10" customWidth="1"/>
    <col min="7" max="7" width="11" customWidth="1"/>
    <col min="8" max="8" width="17" customWidth="1"/>
    <col min="9" max="9" width="18" customWidth="1"/>
    <col min="10" max="10" width="13" customWidth="1"/>
    <col min="11" max="11" width="46" customWidth="1"/>
    <col min="12" max="12" width="3" customWidth="1"/>
    <col min="13" max="16" width="13" hidden="1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6.25" x14ac:dyDescent="0.4">
      <c r="A2" s="1"/>
      <c r="B2" s="11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"/>
      <c r="B3" s="2" t="s">
        <v>113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6.1" customHeight="1" x14ac:dyDescent="0.25">
      <c r="A5" s="1"/>
      <c r="B5" s="38" t="str" cm="1">
        <f t="array" aca="1" ref="B5" ca="1">_xlfn.LET(_xlpm.o,_xlfn.TEXTJOIN(", ",TRUE,IF(J8:J17="Overloaded",B8:B17,"")),_xlpm.k,COUNTIF(B8:B17,"?*"),_xlpm.n,IFERROR(_xlfn._xlws.FILTER(B8:B17,B8:B17&lt;&gt;""),""),_xlpm.p,IFERROR(_xlfn._xlws.FILTER(D8:D17,B8:B17&lt;&gt;""),0),_xlpm.r,IF(_xlpm.k=0,"",_xlfn.TEXTJOIN(", ",TRUE,IF(_xlpm.p=MIN(_xlpm.p),_xlpm.n,""))),_xlpm.c,IF(_xlpm.k=0,0,SUM(IF(_xlpm.p=MIN(_xlpm.p),1,0))),_xlpm.rr,IF(_xlpm.c&gt;1,REPLACE(_xlpm.r,FIND("|",SUBSTITUTE(_xlpm.r,", ","|",_xlpm.c-1)),2," and "),_xlpm.r),IF(_xlpm.o="","Nobody is over capacity this week.",_xlpm.o&amp;IF(ISNUMBER(SEARCH(",",_xlpm.o))," are"," is")&amp;" over capacity.")&amp;IF(_xlpm.rr="",""," "&amp;_xlpm.rr&amp;IF(_xlpm.c&gt;1," have"," has")&amp;" the most room for new work."))</f>
        <v>Faisal is over capacity. Omar, Lina and Reem have the most room for new work.</v>
      </c>
      <c r="C5" s="39"/>
      <c r="D5" s="39"/>
      <c r="E5" s="39"/>
      <c r="F5" s="39"/>
      <c r="G5" s="39"/>
      <c r="H5" s="39"/>
      <c r="I5" s="39"/>
      <c r="J5" s="39"/>
      <c r="K5" s="39"/>
      <c r="L5" s="1"/>
      <c r="M5" s="1"/>
      <c r="N5" s="1"/>
      <c r="O5" s="1"/>
      <c r="P5" s="1"/>
      <c r="Q5" s="1"/>
      <c r="R5" s="1"/>
    </row>
    <row r="6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4" customHeight="1" x14ac:dyDescent="0.25">
      <c r="A7" s="1"/>
      <c r="B7" s="12" t="s">
        <v>62</v>
      </c>
      <c r="C7" s="12" t="s">
        <v>63</v>
      </c>
      <c r="D7" s="12" t="s">
        <v>64</v>
      </c>
      <c r="E7" s="12" t="s">
        <v>65</v>
      </c>
      <c r="F7" s="12" t="s">
        <v>21</v>
      </c>
      <c r="G7" s="12" t="s">
        <v>66</v>
      </c>
      <c r="H7" s="12" t="s">
        <v>67</v>
      </c>
      <c r="I7" s="12" t="s">
        <v>68</v>
      </c>
      <c r="J7" s="12" t="s">
        <v>12</v>
      </c>
      <c r="K7" s="12" t="s">
        <v>69</v>
      </c>
      <c r="L7" s="1"/>
      <c r="M7" s="18" t="s">
        <v>70</v>
      </c>
      <c r="N7" s="18" t="s">
        <v>71</v>
      </c>
      <c r="O7" s="18" t="s">
        <v>72</v>
      </c>
      <c r="P7" s="18" t="s">
        <v>73</v>
      </c>
      <c r="Q7" s="1"/>
      <c r="R7" s="1"/>
    </row>
    <row r="8" spans="1:18" ht="24" customHeight="1" x14ac:dyDescent="0.25">
      <c r="A8" s="1"/>
      <c r="B8" s="19" t="str">
        <f>IF(INDEX(Members,1)="","",INDEX(Members,1))</f>
        <v>Sara</v>
      </c>
      <c r="C8" s="19">
        <f ca="1">IF(B8="","",COUNTIFS(Tasks[Owner],B8,Tasks[Status],"&lt;&gt;Done",Tasks[Task],"&lt;&gt;"))</f>
        <v>2</v>
      </c>
      <c r="D8" s="19">
        <f ca="1">IF(B8="","",SUMIFS(Tasks[Points],Tasks[Owner],B8,Tasks[Status],"&lt;&gt;Done"))</f>
        <v>8</v>
      </c>
      <c r="E8" s="19">
        <f ca="1">IF(B8="","",COUNTIFS(Tasks[Owner],B8,Tasks[Status],"Late"))</f>
        <v>1</v>
      </c>
      <c r="F8" s="19">
        <f ca="1">IF(B8="","",COUNTIFS(Tasks[Owner],B8,Tasks[Status],"Blocked"))</f>
        <v>0</v>
      </c>
      <c r="G8" s="19">
        <f ca="1">IF(B8="","",COUNTIFS(Tasks[Owner],B8,Tasks[Status],"Due soon"))</f>
        <v>1</v>
      </c>
      <c r="H8" s="19">
        <f ca="1">IF(B8="","",COUNTIFS(Tasks[Owner],B8,Tasks[Completed],"&gt;"&amp;ReportDate-7,Tasks[Completed],"&lt;="&amp;ReportDate))</f>
        <v>1</v>
      </c>
      <c r="I8" s="20">
        <f t="shared" ref="I8:I17" ca="1" si="0">IF(B8="","",IFERROR(D8/Capacity,0))</f>
        <v>0.88888888888888884</v>
      </c>
      <c r="J8" s="19" t="str">
        <f t="shared" ref="J8:J17" ca="1" si="1">IF(B8="","",IF(I8&gt;1,"Overloaded",IF(I8&gt;=0.75,"Busy","OK")))</f>
        <v>Busy</v>
      </c>
      <c r="K8" s="21" t="str" cm="1">
        <f t="array" aca="1" ref="K8" ca="1">IF(B8="","",_xlfn.LET(_xlpm.k,(Tasks[Owner]=B8)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>Prepare board update deck  ·  Wed 21 Oct</v>
      </c>
      <c r="L8" s="1"/>
      <c r="M8" s="1">
        <f ca="1">IF(B8="","",SUMIFS(Tasks[Points],Tasks[Owner],B8,Tasks[Status],"Late"))</f>
        <v>5</v>
      </c>
      <c r="N8" s="1">
        <f ca="1">IF(B8="","",SUMIFS(Tasks[Points],Tasks[Owner],B8,Tasks[Status],"Blocked"))</f>
        <v>0</v>
      </c>
      <c r="O8" s="1">
        <f ca="1">IF(B8="","",SUMIFS(Tasks[Points],Tasks[Owner],B8,Tasks[Status],"Due soon"))</f>
        <v>3</v>
      </c>
      <c r="P8" s="1">
        <f t="shared" ref="P8:P17" ca="1" si="2">IF(B8="","",D8-M8-N8-O8)</f>
        <v>0</v>
      </c>
      <c r="Q8" s="1"/>
      <c r="R8" s="1"/>
    </row>
    <row r="9" spans="1:18" ht="24" customHeight="1" x14ac:dyDescent="0.25">
      <c r="A9" s="1"/>
      <c r="B9" s="19" t="str">
        <f>IF(INDEX(Members,2)="","",INDEX(Members,2))</f>
        <v>Omar</v>
      </c>
      <c r="C9" s="19">
        <f ca="1">IF(B9="","",COUNTIFS(Tasks[Owner],B9,Tasks[Status],"&lt;&gt;Done",Tasks[Task],"&lt;&gt;"))</f>
        <v>2</v>
      </c>
      <c r="D9" s="19">
        <f ca="1">IF(B9="","",SUMIFS(Tasks[Points],Tasks[Owner],B9,Tasks[Status],"&lt;&gt;Done"))</f>
        <v>6</v>
      </c>
      <c r="E9" s="19">
        <f ca="1">IF(B9="","",COUNTIFS(Tasks[Owner],B9,Tasks[Status],"Late"))</f>
        <v>0</v>
      </c>
      <c r="F9" s="19">
        <f ca="1">IF(B9="","",COUNTIFS(Tasks[Owner],B9,Tasks[Status],"Blocked"))</f>
        <v>1</v>
      </c>
      <c r="G9" s="19">
        <f ca="1">IF(B9="","",COUNTIFS(Tasks[Owner],B9,Tasks[Status],"Due soon"))</f>
        <v>0</v>
      </c>
      <c r="H9" s="19">
        <f ca="1">IF(B9="","",COUNTIFS(Tasks[Owner],B9,Tasks[Completed],"&gt;"&amp;ReportDate-7,Tasks[Completed],"&lt;="&amp;ReportDate))</f>
        <v>1</v>
      </c>
      <c r="I9" s="20">
        <f t="shared" ca="1" si="0"/>
        <v>0.66666666666666663</v>
      </c>
      <c r="J9" s="19" t="str">
        <f t="shared" ca="1" si="1"/>
        <v>OK</v>
      </c>
      <c r="K9" s="21" t="str" cm="1">
        <f t="array" aca="1" ref="K9" ca="1">IF(B9="","",_xlfn.LET(_xlpm.k,(Tasks[Owner]=B9)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>Fix onboarding email sequence  ·  Mon 26 Oct</v>
      </c>
      <c r="L9" s="1"/>
      <c r="M9" s="1">
        <f ca="1">IF(B9="","",SUMIFS(Tasks[Points],Tasks[Owner],B9,Tasks[Status],"Late"))</f>
        <v>0</v>
      </c>
      <c r="N9" s="1">
        <f ca="1">IF(B9="","",SUMIFS(Tasks[Points],Tasks[Owner],B9,Tasks[Status],"Blocked"))</f>
        <v>3</v>
      </c>
      <c r="O9" s="1">
        <f ca="1">IF(B9="","",SUMIFS(Tasks[Points],Tasks[Owner],B9,Tasks[Status],"Due soon"))</f>
        <v>0</v>
      </c>
      <c r="P9" s="1">
        <f t="shared" ca="1" si="2"/>
        <v>3</v>
      </c>
      <c r="Q9" s="1"/>
      <c r="R9" s="1"/>
    </row>
    <row r="10" spans="1:18" ht="24" customHeight="1" x14ac:dyDescent="0.25">
      <c r="A10" s="1"/>
      <c r="B10" s="19" t="str">
        <f>IF(INDEX(Members,3)="","",INDEX(Members,3))</f>
        <v>Lina</v>
      </c>
      <c r="C10" s="19">
        <f ca="1">IF(B10="","",COUNTIFS(Tasks[Owner],B10,Tasks[Status],"&lt;&gt;Done",Tasks[Task],"&lt;&gt;"))</f>
        <v>2</v>
      </c>
      <c r="D10" s="19">
        <f ca="1">IF(B10="","",SUMIFS(Tasks[Points],Tasks[Owner],B10,Tasks[Status],"&lt;&gt;Done"))</f>
        <v>6</v>
      </c>
      <c r="E10" s="19">
        <f ca="1">IF(B10="","",COUNTIFS(Tasks[Owner],B10,Tasks[Status],"Late"))</f>
        <v>1</v>
      </c>
      <c r="F10" s="19">
        <f ca="1">IF(B10="","",COUNTIFS(Tasks[Owner],B10,Tasks[Status],"Blocked"))</f>
        <v>0</v>
      </c>
      <c r="G10" s="19">
        <f ca="1">IF(B10="","",COUNTIFS(Tasks[Owner],B10,Tasks[Status],"Due soon"))</f>
        <v>1</v>
      </c>
      <c r="H10" s="19">
        <f ca="1">IF(B10="","",COUNTIFS(Tasks[Owner],B10,Tasks[Completed],"&gt;"&amp;ReportDate-7,Tasks[Completed],"&lt;="&amp;ReportDate))</f>
        <v>1</v>
      </c>
      <c r="I10" s="20">
        <f t="shared" ca="1" si="0"/>
        <v>0.66666666666666663</v>
      </c>
      <c r="J10" s="19" t="str">
        <f t="shared" ca="1" si="1"/>
        <v>OK</v>
      </c>
      <c r="K10" s="21" t="str" cm="1">
        <f t="array" aca="1" ref="K10" ca="1">IF(B10="","",_xlfn.LET(_xlpm.k,(Tasks[Owner]=B10)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>Competitor review: top 5 players  ·  Thu 22 Oct</v>
      </c>
      <c r="L10" s="1"/>
      <c r="M10" s="1">
        <f ca="1">IF(B10="","",SUMIFS(Tasks[Points],Tasks[Owner],B10,Tasks[Status],"Late"))</f>
        <v>3</v>
      </c>
      <c r="N10" s="1">
        <f ca="1">IF(B10="","",SUMIFS(Tasks[Points],Tasks[Owner],B10,Tasks[Status],"Blocked"))</f>
        <v>0</v>
      </c>
      <c r="O10" s="1">
        <f ca="1">IF(B10="","",SUMIFS(Tasks[Points],Tasks[Owner],B10,Tasks[Status],"Due soon"))</f>
        <v>3</v>
      </c>
      <c r="P10" s="1">
        <f t="shared" ca="1" si="2"/>
        <v>0</v>
      </c>
      <c r="Q10" s="1"/>
      <c r="R10" s="1"/>
    </row>
    <row r="11" spans="1:18" ht="24" customHeight="1" x14ac:dyDescent="0.25">
      <c r="A11" s="1"/>
      <c r="B11" s="19" t="str">
        <f>IF(INDEX(Members,4)="","",INDEX(Members,4))</f>
        <v>Faisal</v>
      </c>
      <c r="C11" s="19">
        <f ca="1">IF(B11="","",COUNTIFS(Tasks[Owner],B11,Tasks[Status],"&lt;&gt;Done",Tasks[Task],"&lt;&gt;"))</f>
        <v>2</v>
      </c>
      <c r="D11" s="19">
        <f ca="1">IF(B11="","",SUMIFS(Tasks[Points],Tasks[Owner],B11,Tasks[Status],"&lt;&gt;Done"))</f>
        <v>10</v>
      </c>
      <c r="E11" s="19">
        <f ca="1">IF(B11="","",COUNTIFS(Tasks[Owner],B11,Tasks[Status],"Late"))</f>
        <v>0</v>
      </c>
      <c r="F11" s="19">
        <f ca="1">IF(B11="","",COUNTIFS(Tasks[Owner],B11,Tasks[Status],"Blocked"))</f>
        <v>0</v>
      </c>
      <c r="G11" s="19">
        <f ca="1">IF(B11="","",COUNTIFS(Tasks[Owner],B11,Tasks[Status],"Due soon"))</f>
        <v>0</v>
      </c>
      <c r="H11" s="19">
        <f ca="1">IF(B11="","",COUNTIFS(Tasks[Owner],B11,Tasks[Completed],"&gt;"&amp;ReportDate-7,Tasks[Completed],"&lt;="&amp;ReportDate))</f>
        <v>1</v>
      </c>
      <c r="I11" s="20">
        <f t="shared" ca="1" si="0"/>
        <v>1.1111111111111112</v>
      </c>
      <c r="J11" s="19" t="str">
        <f t="shared" ca="1" si="1"/>
        <v>Overloaded</v>
      </c>
      <c r="K11" s="21" t="str" cm="1">
        <f t="array" aca="1" ref="K11" ca="1">IF(B11="","",_xlfn.LET(_xlpm.k,(Tasks[Owner]=B11)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>Website speed audit  ·  Tue 3 Nov</v>
      </c>
      <c r="L11" s="1"/>
      <c r="M11" s="1">
        <f ca="1">IF(B11="","",SUMIFS(Tasks[Points],Tasks[Owner],B11,Tasks[Status],"Late"))</f>
        <v>0</v>
      </c>
      <c r="N11" s="1">
        <f ca="1">IF(B11="","",SUMIFS(Tasks[Points],Tasks[Owner],B11,Tasks[Status],"Blocked"))</f>
        <v>0</v>
      </c>
      <c r="O11" s="1">
        <f ca="1">IF(B11="","",SUMIFS(Tasks[Points],Tasks[Owner],B11,Tasks[Status],"Due soon"))</f>
        <v>0</v>
      </c>
      <c r="P11" s="1">
        <f t="shared" ca="1" si="2"/>
        <v>10</v>
      </c>
      <c r="Q11" s="1"/>
      <c r="R11" s="1"/>
    </row>
    <row r="12" spans="1:18" ht="24" customHeight="1" x14ac:dyDescent="0.25">
      <c r="A12" s="1"/>
      <c r="B12" s="19" t="str">
        <f>IF(INDEX(Members,5)="","",INDEX(Members,5))</f>
        <v>Reem</v>
      </c>
      <c r="C12" s="19">
        <f ca="1">IF(B12="","",COUNTIFS(Tasks[Owner],B12,Tasks[Status],"&lt;&gt;Done",Tasks[Task],"&lt;&gt;"))</f>
        <v>2</v>
      </c>
      <c r="D12" s="19">
        <f ca="1">IF(B12="","",SUMIFS(Tasks[Points],Tasks[Owner],B12,Tasks[Status],"&lt;&gt;Done"))</f>
        <v>6</v>
      </c>
      <c r="E12" s="19">
        <f ca="1">IF(B12="","",COUNTIFS(Tasks[Owner],B12,Tasks[Status],"Late"))</f>
        <v>0</v>
      </c>
      <c r="F12" s="19">
        <f ca="1">IF(B12="","",COUNTIFS(Tasks[Owner],B12,Tasks[Status],"Blocked"))</f>
        <v>0</v>
      </c>
      <c r="G12" s="19">
        <f ca="1">IF(B12="","",COUNTIFS(Tasks[Owner],B12,Tasks[Status],"Due soon"))</f>
        <v>1</v>
      </c>
      <c r="H12" s="19">
        <f ca="1">IF(B12="","",COUNTIFS(Tasks[Owner],B12,Tasks[Completed],"&gt;"&amp;ReportDate-7,Tasks[Completed],"&lt;="&amp;ReportDate))</f>
        <v>0</v>
      </c>
      <c r="I12" s="20">
        <f t="shared" ca="1" si="0"/>
        <v>0.66666666666666663</v>
      </c>
      <c r="J12" s="19" t="str">
        <f t="shared" ca="1" si="1"/>
        <v>OK</v>
      </c>
      <c r="K12" s="21" t="str" cm="1">
        <f t="array" aca="1" ref="K12" ca="1">IF(B12="","",_xlfn.LET(_xlpm.k,(Tasks[Owner]=B12)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>Partner webinar logistics  ·  Wed 28 Oct</v>
      </c>
      <c r="L12" s="1"/>
      <c r="M12" s="1">
        <f ca="1">IF(B12="","",SUMIFS(Tasks[Points],Tasks[Owner],B12,Tasks[Status],"Late"))</f>
        <v>0</v>
      </c>
      <c r="N12" s="1">
        <f ca="1">IF(B12="","",SUMIFS(Tasks[Points],Tasks[Owner],B12,Tasks[Status],"Blocked"))</f>
        <v>0</v>
      </c>
      <c r="O12" s="1">
        <f ca="1">IF(B12="","",SUMIFS(Tasks[Points],Tasks[Owner],B12,Tasks[Status],"Due soon"))</f>
        <v>3</v>
      </c>
      <c r="P12" s="1">
        <f t="shared" ca="1" si="2"/>
        <v>3</v>
      </c>
      <c r="Q12" s="1"/>
      <c r="R12" s="1"/>
    </row>
    <row r="13" spans="1:18" ht="24" customHeight="1" x14ac:dyDescent="0.25">
      <c r="A13" s="1"/>
      <c r="B13" s="19" t="str">
        <f>IF(INDEX(Members,6)="","",INDEX(Members,6))</f>
        <v/>
      </c>
      <c r="C13" s="19" t="str">
        <f>IF(B13="","",COUNTIFS(Tasks[Owner],B13,Tasks[Status],"&lt;&gt;Done",Tasks[Task],"&lt;&gt;"))</f>
        <v/>
      </c>
      <c r="D13" s="19" t="str">
        <f>IF(B13="","",SUMIFS(Tasks[Points],Tasks[Owner],B13,Tasks[Status],"&lt;&gt;Done"))</f>
        <v/>
      </c>
      <c r="E13" s="19" t="str">
        <f>IF(B13="","",COUNTIFS(Tasks[Owner],B13,Tasks[Status],"Late"))</f>
        <v/>
      </c>
      <c r="F13" s="19" t="str">
        <f>IF(B13="","",COUNTIFS(Tasks[Owner],B13,Tasks[Status],"Blocked"))</f>
        <v/>
      </c>
      <c r="G13" s="19" t="str">
        <f>IF(B13="","",COUNTIFS(Tasks[Owner],B13,Tasks[Status],"Due soon"))</f>
        <v/>
      </c>
      <c r="H13" s="19" t="str">
        <f>IF(B13="","",COUNTIFS(Tasks[Owner],B13,Tasks[Completed],"&gt;"&amp;ReportDate-7,Tasks[Completed],"&lt;="&amp;ReportDate))</f>
        <v/>
      </c>
      <c r="I13" s="20" t="str">
        <f t="shared" si="0"/>
        <v/>
      </c>
      <c r="J13" s="19" t="str">
        <f t="shared" si="1"/>
        <v/>
      </c>
      <c r="K13" s="21" t="str" cm="1">
        <f t="array" ref="K13">IF(B13="","",_xlfn.LET(_xlpm.k,(Tasks[Owner]=B13)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/>
      </c>
      <c r="L13" s="1"/>
      <c r="M13" s="1" t="str">
        <f>IF(B13="","",SUMIFS(Tasks[Points],Tasks[Owner],B13,Tasks[Status],"Late"))</f>
        <v/>
      </c>
      <c r="N13" s="1" t="str">
        <f>IF(B13="","",SUMIFS(Tasks[Points],Tasks[Owner],B13,Tasks[Status],"Blocked"))</f>
        <v/>
      </c>
      <c r="O13" s="1" t="str">
        <f>IF(B13="","",SUMIFS(Tasks[Points],Tasks[Owner],B13,Tasks[Status],"Due soon"))</f>
        <v/>
      </c>
      <c r="P13" s="1" t="str">
        <f t="shared" si="2"/>
        <v/>
      </c>
      <c r="Q13" s="1"/>
      <c r="R13" s="1"/>
    </row>
    <row r="14" spans="1:18" ht="24" customHeight="1" x14ac:dyDescent="0.25">
      <c r="A14" s="1"/>
      <c r="B14" s="19" t="str">
        <f>IF(INDEX(Members,7)="","",INDEX(Members,7))</f>
        <v/>
      </c>
      <c r="C14" s="19" t="str">
        <f>IF(B14="","",COUNTIFS(Tasks[Owner],B14,Tasks[Status],"&lt;&gt;Done",Tasks[Task],"&lt;&gt;"))</f>
        <v/>
      </c>
      <c r="D14" s="19" t="str">
        <f>IF(B14="","",SUMIFS(Tasks[Points],Tasks[Owner],B14,Tasks[Status],"&lt;&gt;Done"))</f>
        <v/>
      </c>
      <c r="E14" s="19" t="str">
        <f>IF(B14="","",COUNTIFS(Tasks[Owner],B14,Tasks[Status],"Late"))</f>
        <v/>
      </c>
      <c r="F14" s="19" t="str">
        <f>IF(B14="","",COUNTIFS(Tasks[Owner],B14,Tasks[Status],"Blocked"))</f>
        <v/>
      </c>
      <c r="G14" s="19" t="str">
        <f>IF(B14="","",COUNTIFS(Tasks[Owner],B14,Tasks[Status],"Due soon"))</f>
        <v/>
      </c>
      <c r="H14" s="19" t="str">
        <f>IF(B14="","",COUNTIFS(Tasks[Owner],B14,Tasks[Completed],"&gt;"&amp;ReportDate-7,Tasks[Completed],"&lt;="&amp;ReportDate))</f>
        <v/>
      </c>
      <c r="I14" s="20" t="str">
        <f t="shared" si="0"/>
        <v/>
      </c>
      <c r="J14" s="19" t="str">
        <f t="shared" si="1"/>
        <v/>
      </c>
      <c r="K14" s="21" t="str" cm="1">
        <f t="array" ref="K14">IF(B14="","",_xlfn.LET(_xlpm.k,(Tasks[Owner]=B14)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/>
      </c>
      <c r="L14" s="1"/>
      <c r="M14" s="1" t="str">
        <f>IF(B14="","",SUMIFS(Tasks[Points],Tasks[Owner],B14,Tasks[Status],"Late"))</f>
        <v/>
      </c>
      <c r="N14" s="1" t="str">
        <f>IF(B14="","",SUMIFS(Tasks[Points],Tasks[Owner],B14,Tasks[Status],"Blocked"))</f>
        <v/>
      </c>
      <c r="O14" s="1" t="str">
        <f>IF(B14="","",SUMIFS(Tasks[Points],Tasks[Owner],B14,Tasks[Status],"Due soon"))</f>
        <v/>
      </c>
      <c r="P14" s="1" t="str">
        <f t="shared" si="2"/>
        <v/>
      </c>
      <c r="Q14" s="1"/>
      <c r="R14" s="1"/>
    </row>
    <row r="15" spans="1:18" ht="24" customHeight="1" x14ac:dyDescent="0.25">
      <c r="A15" s="1"/>
      <c r="B15" s="19" t="str">
        <f>IF(INDEX(Members,8)="","",INDEX(Members,8))</f>
        <v/>
      </c>
      <c r="C15" s="19" t="str">
        <f>IF(B15="","",COUNTIFS(Tasks[Owner],B15,Tasks[Status],"&lt;&gt;Done",Tasks[Task],"&lt;&gt;"))</f>
        <v/>
      </c>
      <c r="D15" s="19" t="str">
        <f>IF(B15="","",SUMIFS(Tasks[Points],Tasks[Owner],B15,Tasks[Status],"&lt;&gt;Done"))</f>
        <v/>
      </c>
      <c r="E15" s="19" t="str">
        <f>IF(B15="","",COUNTIFS(Tasks[Owner],B15,Tasks[Status],"Late"))</f>
        <v/>
      </c>
      <c r="F15" s="19" t="str">
        <f>IF(B15="","",COUNTIFS(Tasks[Owner],B15,Tasks[Status],"Blocked"))</f>
        <v/>
      </c>
      <c r="G15" s="19" t="str">
        <f>IF(B15="","",COUNTIFS(Tasks[Owner],B15,Tasks[Status],"Due soon"))</f>
        <v/>
      </c>
      <c r="H15" s="19" t="str">
        <f>IF(B15="","",COUNTIFS(Tasks[Owner],B15,Tasks[Completed],"&gt;"&amp;ReportDate-7,Tasks[Completed],"&lt;="&amp;ReportDate))</f>
        <v/>
      </c>
      <c r="I15" s="20" t="str">
        <f t="shared" si="0"/>
        <v/>
      </c>
      <c r="J15" s="19" t="str">
        <f t="shared" si="1"/>
        <v/>
      </c>
      <c r="K15" s="21" t="str" cm="1">
        <f t="array" ref="K15">IF(B15="","",_xlfn.LET(_xlpm.k,(Tasks[Owner]=B15)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/>
      </c>
      <c r="L15" s="1"/>
      <c r="M15" s="1" t="str">
        <f>IF(B15="","",SUMIFS(Tasks[Points],Tasks[Owner],B15,Tasks[Status],"Late"))</f>
        <v/>
      </c>
      <c r="N15" s="1" t="str">
        <f>IF(B15="","",SUMIFS(Tasks[Points],Tasks[Owner],B15,Tasks[Status],"Blocked"))</f>
        <v/>
      </c>
      <c r="O15" s="1" t="str">
        <f>IF(B15="","",SUMIFS(Tasks[Points],Tasks[Owner],B15,Tasks[Status],"Due soon"))</f>
        <v/>
      </c>
      <c r="P15" s="1" t="str">
        <f t="shared" si="2"/>
        <v/>
      </c>
      <c r="Q15" s="1"/>
      <c r="R15" s="1"/>
    </row>
    <row r="16" spans="1:18" ht="24" customHeight="1" x14ac:dyDescent="0.25">
      <c r="A16" s="1"/>
      <c r="B16" s="19" t="str">
        <f>IF(INDEX(Members,9)="","",INDEX(Members,9))</f>
        <v/>
      </c>
      <c r="C16" s="19" t="str">
        <f>IF(B16="","",COUNTIFS(Tasks[Owner],B16,Tasks[Status],"&lt;&gt;Done",Tasks[Task],"&lt;&gt;"))</f>
        <v/>
      </c>
      <c r="D16" s="19" t="str">
        <f>IF(B16="","",SUMIFS(Tasks[Points],Tasks[Owner],B16,Tasks[Status],"&lt;&gt;Done"))</f>
        <v/>
      </c>
      <c r="E16" s="19" t="str">
        <f>IF(B16="","",COUNTIFS(Tasks[Owner],B16,Tasks[Status],"Late"))</f>
        <v/>
      </c>
      <c r="F16" s="19" t="str">
        <f>IF(B16="","",COUNTIFS(Tasks[Owner],B16,Tasks[Status],"Blocked"))</f>
        <v/>
      </c>
      <c r="G16" s="19" t="str">
        <f>IF(B16="","",COUNTIFS(Tasks[Owner],B16,Tasks[Status],"Due soon"))</f>
        <v/>
      </c>
      <c r="H16" s="19" t="str">
        <f>IF(B16="","",COUNTIFS(Tasks[Owner],B16,Tasks[Completed],"&gt;"&amp;ReportDate-7,Tasks[Completed],"&lt;="&amp;ReportDate))</f>
        <v/>
      </c>
      <c r="I16" s="20" t="str">
        <f t="shared" si="0"/>
        <v/>
      </c>
      <c r="J16" s="19" t="str">
        <f t="shared" si="1"/>
        <v/>
      </c>
      <c r="K16" s="21" t="str" cm="1">
        <f t="array" ref="K16">IF(B16="","",_xlfn.LET(_xlpm.k,(Tasks[Owner]=B16)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/>
      </c>
      <c r="L16" s="1"/>
      <c r="M16" s="1" t="str">
        <f>IF(B16="","",SUMIFS(Tasks[Points],Tasks[Owner],B16,Tasks[Status],"Late"))</f>
        <v/>
      </c>
      <c r="N16" s="1" t="str">
        <f>IF(B16="","",SUMIFS(Tasks[Points],Tasks[Owner],B16,Tasks[Status],"Blocked"))</f>
        <v/>
      </c>
      <c r="O16" s="1" t="str">
        <f>IF(B16="","",SUMIFS(Tasks[Points],Tasks[Owner],B16,Tasks[Status],"Due soon"))</f>
        <v/>
      </c>
      <c r="P16" s="1" t="str">
        <f t="shared" si="2"/>
        <v/>
      </c>
      <c r="Q16" s="1"/>
      <c r="R16" s="1"/>
    </row>
    <row r="17" spans="1:18" ht="24" customHeight="1" x14ac:dyDescent="0.25">
      <c r="A17" s="1"/>
      <c r="B17" s="19" t="str">
        <f>IF(INDEX(Members,10)="","",INDEX(Members,10))</f>
        <v/>
      </c>
      <c r="C17" s="19" t="str">
        <f>IF(B17="","",COUNTIFS(Tasks[Owner],B17,Tasks[Status],"&lt;&gt;Done",Tasks[Task],"&lt;&gt;"))</f>
        <v/>
      </c>
      <c r="D17" s="19" t="str">
        <f>IF(B17="","",SUMIFS(Tasks[Points],Tasks[Owner],B17,Tasks[Status],"&lt;&gt;Done"))</f>
        <v/>
      </c>
      <c r="E17" s="19" t="str">
        <f>IF(B17="","",COUNTIFS(Tasks[Owner],B17,Tasks[Status],"Late"))</f>
        <v/>
      </c>
      <c r="F17" s="19" t="str">
        <f>IF(B17="","",COUNTIFS(Tasks[Owner],B17,Tasks[Status],"Blocked"))</f>
        <v/>
      </c>
      <c r="G17" s="19" t="str">
        <f>IF(B17="","",COUNTIFS(Tasks[Owner],B17,Tasks[Status],"Due soon"))</f>
        <v/>
      </c>
      <c r="H17" s="19" t="str">
        <f>IF(B17="","",COUNTIFS(Tasks[Owner],B17,Tasks[Completed],"&gt;"&amp;ReportDate-7,Tasks[Completed],"&lt;="&amp;ReportDate))</f>
        <v/>
      </c>
      <c r="I17" s="20" t="str">
        <f t="shared" si="0"/>
        <v/>
      </c>
      <c r="J17" s="19" t="str">
        <f t="shared" si="1"/>
        <v/>
      </c>
      <c r="K17" s="21" t="str" cm="1">
        <f t="array" ref="K17">IF(B17="","",_xlfn.LET(_xlpm.k,(Tasks[Owner]=B17)*(Tasks[Status]&lt;&gt;"Done")*ISNUMBER(Tasks[Due]),IFERROR(_xlfn.LET(_xlpm.t,_xlfn.SORTBY(_xlfn._xlws.FILTER(Tasks[Task],_xlpm.k),_xlfn._xlws.FILTER(Tasks[Due],_xlpm.k)),_xlpm.d,_xlfn.SORTBY(_xlfn._xlws.FILTER(Tasks[Due],_xlpm.k),_xlfn._xlws.FILTER(Tasks[Due],_xlpm.k)),INDEX(_xlpm.t,1)&amp;"  ·  "&amp;TEXT(INDEX(_xlpm.d,1),"[$-409]ddd d mmm")),"Nothing open")))</f>
        <v/>
      </c>
      <c r="L17" s="1"/>
      <c r="M17" s="1" t="str">
        <f>IF(B17="","",SUMIFS(Tasks[Points],Tasks[Owner],B17,Tasks[Status],"Late"))</f>
        <v/>
      </c>
      <c r="N17" s="1" t="str">
        <f>IF(B17="","",SUMIFS(Tasks[Points],Tasks[Owner],B17,Tasks[Status],"Blocked"))</f>
        <v/>
      </c>
      <c r="O17" s="1" t="str">
        <f>IF(B17="","",SUMIFS(Tasks[Points],Tasks[Owner],B17,Tasks[Status],"Due soon"))</f>
        <v/>
      </c>
      <c r="P17" s="1" t="str">
        <f t="shared" si="2"/>
        <v/>
      </c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8" t="str">
        <f>"Load = open points ÷ capacity ("&amp;Capacity&amp;" points per person, set in Settings). Above 100% is Overloaded, from 75% is Busy."</f>
        <v>Load = open points ÷ capacity (9 points per person, set in Settings). Above 100% is Overloaded, from 75% is Busy.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6.1" customHeight="1" x14ac:dyDescent="0.25">
      <c r="A21" s="1"/>
      <c r="B21" s="51" t="s">
        <v>74</v>
      </c>
      <c r="C21" s="41"/>
      <c r="D21" s="41"/>
      <c r="E21" s="41"/>
      <c r="F21" s="41"/>
      <c r="G21" s="41"/>
      <c r="H21" s="41"/>
      <c r="I21" s="41"/>
      <c r="J21" s="41"/>
      <c r="K21" s="42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7"/>
      <c r="C22" s="3"/>
      <c r="D22" s="3"/>
      <c r="E22" s="3"/>
      <c r="F22" s="3"/>
      <c r="G22" s="3"/>
      <c r="H22" s="3"/>
      <c r="I22" s="3"/>
      <c r="J22" s="3"/>
      <c r="K22" s="4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7"/>
      <c r="C23" s="3"/>
      <c r="D23" s="3"/>
      <c r="E23" s="3"/>
      <c r="F23" s="3"/>
      <c r="G23" s="3"/>
      <c r="H23" s="3"/>
      <c r="I23" s="3"/>
      <c r="J23" s="3"/>
      <c r="K23" s="4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7"/>
      <c r="C24" s="3"/>
      <c r="D24" s="3"/>
      <c r="E24" s="3"/>
      <c r="F24" s="3"/>
      <c r="G24" s="3"/>
      <c r="H24" s="3"/>
      <c r="I24" s="3"/>
      <c r="J24" s="3"/>
      <c r="K24" s="4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7"/>
      <c r="C25" s="3"/>
      <c r="D25" s="3"/>
      <c r="E25" s="3"/>
      <c r="F25" s="3"/>
      <c r="G25" s="3"/>
      <c r="H25" s="3"/>
      <c r="I25" s="3"/>
      <c r="J25" s="3"/>
      <c r="K25" s="4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7"/>
      <c r="C26" s="3"/>
      <c r="D26" s="3"/>
      <c r="E26" s="3"/>
      <c r="F26" s="3"/>
      <c r="G26" s="3"/>
      <c r="H26" s="3"/>
      <c r="I26" s="3"/>
      <c r="J26" s="3"/>
      <c r="K26" s="4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7"/>
      <c r="C27" s="3"/>
      <c r="D27" s="3"/>
      <c r="E27" s="3"/>
      <c r="F27" s="3"/>
      <c r="G27" s="3"/>
      <c r="H27" s="3"/>
      <c r="I27" s="3"/>
      <c r="J27" s="3"/>
      <c r="K27" s="4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7"/>
      <c r="C28" s="3"/>
      <c r="D28" s="3"/>
      <c r="E28" s="3"/>
      <c r="F28" s="3"/>
      <c r="G28" s="3"/>
      <c r="H28" s="3"/>
      <c r="I28" s="3"/>
      <c r="J28" s="3"/>
      <c r="K28" s="4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7"/>
      <c r="C29" s="3"/>
      <c r="D29" s="3"/>
      <c r="E29" s="3"/>
      <c r="F29" s="3"/>
      <c r="G29" s="3"/>
      <c r="H29" s="3"/>
      <c r="I29" s="3"/>
      <c r="J29" s="3"/>
      <c r="K29" s="4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7"/>
      <c r="C30" s="3"/>
      <c r="D30" s="3"/>
      <c r="E30" s="3"/>
      <c r="F30" s="3"/>
      <c r="G30" s="3"/>
      <c r="H30" s="3"/>
      <c r="I30" s="3"/>
      <c r="J30" s="3"/>
      <c r="K30" s="4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7"/>
      <c r="C31" s="3"/>
      <c r="D31" s="3"/>
      <c r="E31" s="3"/>
      <c r="F31" s="3"/>
      <c r="G31" s="3"/>
      <c r="H31" s="3"/>
      <c r="I31" s="3"/>
      <c r="J31" s="3"/>
      <c r="K31" s="4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7"/>
      <c r="C32" s="3"/>
      <c r="D32" s="3"/>
      <c r="E32" s="3"/>
      <c r="F32" s="3"/>
      <c r="G32" s="3"/>
      <c r="H32" s="3"/>
      <c r="I32" s="3"/>
      <c r="J32" s="3"/>
      <c r="K32" s="4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7"/>
      <c r="C33" s="3"/>
      <c r="D33" s="3"/>
      <c r="E33" s="3"/>
      <c r="F33" s="3"/>
      <c r="G33" s="3"/>
      <c r="H33" s="3"/>
      <c r="I33" s="3"/>
      <c r="J33" s="3"/>
      <c r="K33" s="4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7"/>
      <c r="C34" s="3"/>
      <c r="D34" s="3"/>
      <c r="E34" s="3"/>
      <c r="F34" s="3"/>
      <c r="G34" s="3"/>
      <c r="H34" s="3"/>
      <c r="I34" s="3"/>
      <c r="J34" s="3"/>
      <c r="K34" s="4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7"/>
      <c r="C35" s="3"/>
      <c r="D35" s="3"/>
      <c r="E35" s="3"/>
      <c r="F35" s="3"/>
      <c r="G35" s="3"/>
      <c r="H35" s="3"/>
      <c r="I35" s="3"/>
      <c r="J35" s="3"/>
      <c r="K35" s="4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7"/>
      <c r="C36" s="3"/>
      <c r="D36" s="3"/>
      <c r="E36" s="3"/>
      <c r="F36" s="3"/>
      <c r="G36" s="3"/>
      <c r="H36" s="3"/>
      <c r="I36" s="3"/>
      <c r="J36" s="3"/>
      <c r="K36" s="4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7"/>
      <c r="C37" s="3"/>
      <c r="D37" s="3"/>
      <c r="E37" s="3"/>
      <c r="F37" s="3"/>
      <c r="G37" s="3"/>
      <c r="H37" s="3"/>
      <c r="I37" s="3"/>
      <c r="J37" s="3"/>
      <c r="K37" s="4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7"/>
      <c r="C38" s="3"/>
      <c r="D38" s="3"/>
      <c r="E38" s="3"/>
      <c r="F38" s="3"/>
      <c r="G38" s="3"/>
      <c r="H38" s="3"/>
      <c r="I38" s="3"/>
      <c r="J38" s="3"/>
      <c r="K38" s="4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7"/>
      <c r="C39" s="3"/>
      <c r="D39" s="3"/>
      <c r="E39" s="3"/>
      <c r="F39" s="3"/>
      <c r="G39" s="3"/>
      <c r="H39" s="3"/>
      <c r="I39" s="3"/>
      <c r="J39" s="3"/>
      <c r="K39" s="4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7"/>
      <c r="C40" s="3"/>
      <c r="D40" s="3"/>
      <c r="E40" s="3"/>
      <c r="F40" s="3"/>
      <c r="G40" s="3"/>
      <c r="H40" s="3"/>
      <c r="I40" s="3"/>
      <c r="J40" s="3"/>
      <c r="K40" s="4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7"/>
      <c r="C41" s="3"/>
      <c r="D41" s="3"/>
      <c r="E41" s="3"/>
      <c r="F41" s="3"/>
      <c r="G41" s="3"/>
      <c r="H41" s="3"/>
      <c r="I41" s="3"/>
      <c r="J41" s="3"/>
      <c r="K41" s="4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8"/>
      <c r="C42" s="5"/>
      <c r="D42" s="5"/>
      <c r="E42" s="5"/>
      <c r="F42" s="5"/>
      <c r="G42" s="5"/>
      <c r="H42" s="5"/>
      <c r="I42" s="5"/>
      <c r="J42" s="5"/>
      <c r="K42" s="6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</sheetData>
  <mergeCells count="2">
    <mergeCell ref="B5:K5"/>
    <mergeCell ref="B21:K21"/>
  </mergeCells>
  <conditionalFormatting sqref="E8:E17">
    <cfRule type="expression" dxfId="8" priority="5">
      <formula>AND(ISNUMBER($E8),$E8&gt;0)</formula>
    </cfRule>
  </conditionalFormatting>
  <conditionalFormatting sqref="F8:F17">
    <cfRule type="expression" dxfId="7" priority="6">
      <formula>AND(ISNUMBER($F8),$F8&gt;0)</formula>
    </cfRule>
  </conditionalFormatting>
  <conditionalFormatting sqref="I8:I17">
    <cfRule type="dataBar" priority="1">
      <dataBar>
        <cfvo type="num" val="0"/>
        <cfvo type="num" val="1.3"/>
        <color rgb="FFE3A63E"/>
      </dataBar>
    </cfRule>
  </conditionalFormatting>
  <conditionalFormatting sqref="J8:J17">
    <cfRule type="expression" dxfId="6" priority="2">
      <formula>$J8="Overloaded"</formula>
    </cfRule>
    <cfRule type="expression" dxfId="5" priority="3">
      <formula>$J8="Busy"</formula>
    </cfRule>
    <cfRule type="expression" dxfId="4" priority="4">
      <formula>$J8="OK"</formula>
    </cfRule>
  </conditionalFormatting>
  <pageMargins left="0.75" right="0.75" top="1" bottom="1" header="0.5" footer="0.5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B6B3E"/>
    <pageSetUpPr fitToPage="1"/>
  </sheetPr>
  <dimension ref="A1:H1100"/>
  <sheetViews>
    <sheetView showGridLines="0" zoomScale="90" workbookViewId="0"/>
  </sheetViews>
  <sheetFormatPr defaultRowHeight="15" x14ac:dyDescent="0.25"/>
  <cols>
    <col min="1" max="1" width="3" customWidth="1"/>
    <col min="2" max="2" width="10.5703125" customWidth="1"/>
    <col min="3" max="3" width="88.5703125" customWidth="1"/>
    <col min="4" max="4" width="3" customWidth="1"/>
    <col min="5" max="5" width="83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26.25" x14ac:dyDescent="0.4">
      <c r="A2" s="1"/>
      <c r="B2" s="11" t="s">
        <v>75</v>
      </c>
      <c r="C2" s="1"/>
      <c r="D2" s="1"/>
      <c r="E2" s="1"/>
      <c r="F2" s="1"/>
      <c r="G2" s="1"/>
      <c r="H2" s="1"/>
    </row>
    <row r="3" spans="1:8" x14ac:dyDescent="0.25">
      <c r="A3" s="1"/>
      <c r="B3" s="2" t="s">
        <v>106</v>
      </c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ht="26.1" customHeight="1" x14ac:dyDescent="0.25">
      <c r="A5" s="1"/>
      <c r="B5" s="22" t="s">
        <v>76</v>
      </c>
      <c r="C5" s="31" t="str">
        <f ca="1">TeamName&amp;" | Weekly update, "&amp;TEXT(ReportDate,"[$-409]d mmm yyyy")</f>
        <v>Growth Team | Weekly update, 24 Oct 2026</v>
      </c>
      <c r="D5" s="1"/>
      <c r="E5" s="1"/>
      <c r="F5" s="1"/>
      <c r="G5" s="1"/>
      <c r="H5" s="1"/>
    </row>
    <row r="6" spans="1:8" ht="24" customHeight="1" x14ac:dyDescent="0.25">
      <c r="A6" s="1"/>
      <c r="B6" s="1"/>
      <c r="C6" s="32" t="s">
        <v>107</v>
      </c>
      <c r="D6" s="1"/>
      <c r="E6" s="33" t="s">
        <v>108</v>
      </c>
      <c r="F6" s="1"/>
      <c r="G6" s="1"/>
      <c r="H6" s="1"/>
    </row>
    <row r="7" spans="1:8" ht="16.5" customHeight="1" x14ac:dyDescent="0.25">
      <c r="A7" s="1"/>
      <c r="B7" s="34" t="s">
        <v>77</v>
      </c>
      <c r="C7" s="30" t="str" cm="1">
        <f t="array" aca="1" ref="C7:C34" ca="1">_xlfn.LET(_xlpm.t,"Hi everyone,"&amp;CHAR(10)&amp;CHAR(10)&amp;"Here’s where things stand for "&amp;TeamName&amp;" as of "&amp;TEXT(ReportDate,"[$-409]dddd d mmmm")&amp;"."&amp;CHAR(10)&amp;CHAR(10)&amp;"Progress: "&amp;TEXT(Overview!X14,"0%")&amp;" of the planned work is complete ("&amp;COUNTIFS(Tasks[Status],"Done")&amp;" of "&amp;COUNTA(Tasks[Task])&amp;" tasks)."&amp;CHAR(10)&amp;IF(Overview!N6&gt;0,CHAR(10)&amp;"Completed this week:"&amp;CHAR(10)&amp;_xlfn.TEXTJOIN(CHAR(10),TRUE,_xlfn.SORTBY(Tasks[LineDone],Tasks[Completed],1))&amp;CHAR(10),"")&amp;IF(Overview!F6&gt;0,CHAR(10)&amp;"Running late:"&amp;CHAR(10)&amp;_xlfn.TEXTJOIN(CHAR(10),TRUE,_xlfn.SORTBY(Tasks[LineLate],Tasks[Due],1))&amp;CHAR(10),"")&amp;IF(COUNTIFS(Tasks[Status],"Blocked")&gt;0,CHAR(10)&amp;"Blocked:"&amp;CHAR(10)&amp;_xlfn.TEXTJOIN(CHAR(10),TRUE,Tasks[LineBlocked])&amp;CHAR(10),"")&amp;IF(Overview!J6&gt;0,CHAR(10)&amp;"Coming up in the next "&amp;DueSoonDays&amp;" working days:"&amp;CHAR(10)&amp;_xlfn.TEXTJOIN(CHAR(10),TRUE,_xlfn.SORTBY(Tasks[LineSoon],Tasks[Due],1))&amp;CHAR(10),"")&amp;CHAR(10)&amp;"Let me know if anything here looks off."&amp;CHAR(10)&amp;CHAR(10)&amp;"Thanks,"&amp;CHAR(10)&amp;Sender,_xlpm.L,LEN(_xlpm.t),_xlpm.i,_xlfn.SEQUENCE(_xlpm.L),_xlpm.pos,IFERROR(_xlfn._xlws.FILTER(_xlpm.i,MID(_xlpm.t,_xlpm.i,1)=CHAR(10)),0),_xlpm.n,ROWS(_xlpm.pos)+1-(MAX(_xlpm.pos)=0),_xlpm.s,_xlfn.SEQUENCE(_xlpm.n),_xlpm.a,IF(_xlpm.s=1,1,INDEX(_xlpm.pos,IF(_xlpm.s=1,1,_xlpm.s-1))+1),_xlpm.z,IF(_xlpm.s=_xlpm.n,_xlpm.L+1,INDEX(_xlpm.pos,IF(_xlpm.s=_xlpm.n,1,_xlpm.s))),MID(_xlpm.t,_xlpm.a,_xlpm.z-_xlpm.a))</f>
        <v>Hi everyone,</v>
      </c>
      <c r="D7" s="1"/>
      <c r="E7" s="1"/>
      <c r="F7" s="1"/>
      <c r="G7" s="1"/>
      <c r="H7" s="1"/>
    </row>
    <row r="8" spans="1:8" ht="16.5" customHeight="1" x14ac:dyDescent="0.25">
      <c r="A8" s="1"/>
      <c r="B8" s="1"/>
      <c r="C8" s="30" t="str">
        <f ca="1"/>
        <v/>
      </c>
      <c r="D8" s="1"/>
      <c r="E8" s="1"/>
      <c r="F8" s="1"/>
      <c r="G8" s="1"/>
      <c r="H8" s="1"/>
    </row>
    <row r="9" spans="1:8" ht="16.5" customHeight="1" x14ac:dyDescent="0.25">
      <c r="A9" s="1"/>
      <c r="B9" s="1"/>
      <c r="C9" s="30" t="str">
        <f ca="1"/>
        <v>Here’s where things stand for Growth Team as of Saturday 24 October.</v>
      </c>
      <c r="D9" s="1"/>
      <c r="E9" s="1"/>
      <c r="F9" s="1"/>
      <c r="G9" s="1"/>
      <c r="H9" s="1"/>
    </row>
    <row r="10" spans="1:8" ht="16.5" customHeight="1" x14ac:dyDescent="0.25">
      <c r="A10" s="1"/>
      <c r="B10" s="22"/>
      <c r="C10" s="30" t="str">
        <f ca="1"/>
        <v/>
      </c>
      <c r="D10" s="1"/>
      <c r="E10" s="1"/>
      <c r="F10" s="1"/>
      <c r="G10" s="1"/>
      <c r="H10" s="1"/>
    </row>
    <row r="11" spans="1:8" ht="16.5" customHeight="1" x14ac:dyDescent="0.25">
      <c r="A11" s="1"/>
      <c r="B11" s="1"/>
      <c r="C11" s="30" t="str">
        <f ca="1"/>
        <v>Progress: 22% of the planned work is complete (6 of 16 tasks).</v>
      </c>
      <c r="D11" s="1"/>
      <c r="E11" s="1"/>
      <c r="F11" s="1"/>
      <c r="G11" s="1"/>
      <c r="H11" s="1"/>
    </row>
    <row r="12" spans="1:8" ht="16.5" customHeight="1" x14ac:dyDescent="0.25">
      <c r="A12" s="1"/>
      <c r="B12" s="1"/>
      <c r="C12" s="30" t="str">
        <f ca="1"/>
        <v/>
      </c>
      <c r="D12" s="1"/>
      <c r="E12" s="1"/>
      <c r="F12" s="1"/>
      <c r="G12" s="1"/>
      <c r="H12" s="1"/>
    </row>
    <row r="13" spans="1:8" ht="16.5" customHeight="1" x14ac:dyDescent="0.25">
      <c r="A13" s="1"/>
      <c r="B13" s="1"/>
      <c r="C13" s="30" t="str">
        <f ca="1"/>
        <v>Completed this week:</v>
      </c>
      <c r="D13" s="1"/>
      <c r="E13" s="1"/>
      <c r="F13" s="1"/>
      <c r="G13" s="1"/>
      <c r="H13" s="1"/>
    </row>
    <row r="14" spans="1:8" ht="16.5" customHeight="1" x14ac:dyDescent="0.25">
      <c r="A14" s="1"/>
      <c r="B14" s="1"/>
      <c r="C14" s="30" t="str">
        <f ca="1"/>
        <v>- Update pricing page copy (Omar)</v>
      </c>
      <c r="D14" s="1"/>
      <c r="E14" s="1"/>
      <c r="F14" s="1"/>
      <c r="G14" s="1"/>
      <c r="H14" s="1"/>
    </row>
    <row r="15" spans="1:8" ht="16.5" customHeight="1" x14ac:dyDescent="0.25">
      <c r="A15" s="1"/>
      <c r="B15" s="1"/>
      <c r="C15" s="30" t="str">
        <f ca="1"/>
        <v>- Sales one-pager refresh (Sara)</v>
      </c>
      <c r="D15" s="1"/>
      <c r="E15" s="1"/>
      <c r="F15" s="1"/>
      <c r="G15" s="1"/>
      <c r="H15" s="1"/>
    </row>
    <row r="16" spans="1:8" ht="16.5" customHeight="1" x14ac:dyDescent="0.25">
      <c r="A16" s="1"/>
      <c r="B16" s="1"/>
      <c r="C16" s="30" t="str">
        <f ca="1"/>
        <v>- Shortlist freelance designers (Faisal)</v>
      </c>
      <c r="D16" s="1"/>
      <c r="E16" s="1"/>
      <c r="F16" s="1"/>
      <c r="G16" s="1"/>
      <c r="H16" s="1"/>
    </row>
    <row r="17" spans="1:8" ht="16.5" customHeight="1" x14ac:dyDescent="0.25">
      <c r="A17" s="1"/>
      <c r="B17" s="1"/>
      <c r="C17" s="30" t="str">
        <f ca="1"/>
        <v>- Monthly KPI report (Lina)</v>
      </c>
      <c r="D17" s="1"/>
      <c r="E17" s="1"/>
      <c r="F17" s="1"/>
      <c r="G17" s="1"/>
      <c r="H17" s="1"/>
    </row>
    <row r="18" spans="1:8" ht="16.5" customHeight="1" x14ac:dyDescent="0.25">
      <c r="A18" s="1"/>
      <c r="B18" s="1"/>
      <c r="C18" s="30" t="str">
        <f ca="1"/>
        <v/>
      </c>
      <c r="D18" s="1"/>
      <c r="E18" s="1"/>
      <c r="F18" s="1"/>
      <c r="G18" s="1"/>
      <c r="H18" s="1"/>
    </row>
    <row r="19" spans="1:8" ht="16.5" customHeight="1" x14ac:dyDescent="0.25">
      <c r="A19" s="1"/>
      <c r="B19" s="1"/>
      <c r="C19" s="30" t="str">
        <f ca="1"/>
        <v>Running late:</v>
      </c>
      <c r="D19" s="1"/>
      <c r="E19" s="1"/>
      <c r="F19" s="1"/>
      <c r="G19" s="1"/>
      <c r="H19" s="1"/>
    </row>
    <row r="20" spans="1:8" ht="16.5" customHeight="1" x14ac:dyDescent="0.25">
      <c r="A20" s="1"/>
      <c r="B20" s="1"/>
      <c r="C20" s="30" t="str">
        <f ca="1"/>
        <v>- Prepare board update deck (Sara), 1 working day late. Waiting for final numbers from finance</v>
      </c>
      <c r="D20" s="1"/>
      <c r="E20" s="1"/>
      <c r="F20" s="1"/>
      <c r="G20" s="1"/>
      <c r="H20" s="1"/>
    </row>
    <row r="21" spans="1:8" ht="16.5" customHeight="1" x14ac:dyDescent="0.25">
      <c r="A21" s="1"/>
      <c r="B21" s="1"/>
      <c r="C21" s="30" t="str">
        <f ca="1"/>
        <v>- Competitor review: top 5 players (Lina), was due Thu 22 Oct. Two profiles left</v>
      </c>
      <c r="D21" s="1"/>
      <c r="E21" s="1"/>
      <c r="F21" s="1"/>
      <c r="G21" s="1"/>
      <c r="H21" s="1"/>
    </row>
    <row r="22" spans="1:8" ht="16.5" customHeight="1" x14ac:dyDescent="0.25">
      <c r="A22" s="1"/>
      <c r="B22" s="1"/>
      <c r="C22" s="30" t="str">
        <f ca="1"/>
        <v/>
      </c>
      <c r="D22" s="1"/>
      <c r="E22" s="1"/>
      <c r="F22" s="1"/>
      <c r="G22" s="1"/>
      <c r="H22" s="1"/>
    </row>
    <row r="23" spans="1:8" ht="16.5" customHeight="1" x14ac:dyDescent="0.25">
      <c r="A23" s="1"/>
      <c r="B23" s="1"/>
      <c r="C23" s="30" t="str">
        <f ca="1"/>
        <v>Blocked:</v>
      </c>
      <c r="D23" s="1"/>
      <c r="E23" s="1"/>
      <c r="F23" s="1"/>
      <c r="G23" s="1"/>
      <c r="H23" s="1"/>
    </row>
    <row r="24" spans="1:8" ht="16.5" customHeight="1" x14ac:dyDescent="0.25">
      <c r="A24" s="1"/>
      <c r="B24" s="1"/>
      <c r="C24" s="30" t="str">
        <f ca="1"/>
        <v>- Fix onboarding email sequence (Omar): Needs CRM admin access from IT</v>
      </c>
      <c r="D24" s="1"/>
      <c r="E24" s="1"/>
      <c r="F24" s="1"/>
      <c r="G24" s="1"/>
      <c r="H24" s="1"/>
    </row>
    <row r="25" spans="1:8" ht="16.5" customHeight="1" x14ac:dyDescent="0.25">
      <c r="A25" s="1"/>
      <c r="B25" s="1"/>
      <c r="C25" s="30" t="str">
        <f ca="1"/>
        <v/>
      </c>
      <c r="D25" s="1"/>
      <c r="E25" s="1"/>
      <c r="F25" s="1"/>
      <c r="G25" s="1"/>
      <c r="H25" s="1"/>
    </row>
    <row r="26" spans="1:8" ht="16.5" customHeight="1" x14ac:dyDescent="0.25">
      <c r="A26" s="1"/>
      <c r="B26" s="1"/>
      <c r="C26" s="30" t="str">
        <f ca="1"/>
        <v>Coming up in the next 5 working days:</v>
      </c>
      <c r="D26" s="1"/>
      <c r="E26" s="1"/>
      <c r="F26" s="1"/>
      <c r="G26" s="1"/>
      <c r="H26" s="1"/>
    </row>
    <row r="27" spans="1:8" ht="16.5" customHeight="1" x14ac:dyDescent="0.25">
      <c r="A27" s="1"/>
      <c r="B27" s="1"/>
      <c r="C27" s="30" t="str">
        <f ca="1"/>
        <v>- Intern hiring: first interviews (Sara), due Mon 26 Oct</v>
      </c>
      <c r="D27" s="1"/>
      <c r="E27" s="1"/>
      <c r="F27" s="1"/>
      <c r="G27" s="1"/>
      <c r="H27" s="1"/>
    </row>
    <row r="28" spans="1:8" ht="16.5" customHeight="1" x14ac:dyDescent="0.25">
      <c r="A28" s="1"/>
      <c r="B28" s="1"/>
      <c r="C28" s="30" t="str">
        <f ca="1"/>
        <v>- Customer survey: send and collect (Lina), due Tue 27 Oct</v>
      </c>
      <c r="D28" s="1"/>
      <c r="E28" s="1"/>
      <c r="F28" s="1"/>
      <c r="G28" s="1"/>
      <c r="H28" s="1"/>
    </row>
    <row r="29" spans="1:8" ht="16.5" customHeight="1" x14ac:dyDescent="0.25">
      <c r="A29" s="1"/>
      <c r="B29" s="1"/>
      <c r="C29" s="30" t="str">
        <f ca="1"/>
        <v>- Partner webinar logistics (Reem), due Wed 28 Oct</v>
      </c>
      <c r="D29" s="1"/>
      <c r="E29" s="1"/>
      <c r="F29" s="1"/>
      <c r="G29" s="1"/>
      <c r="H29" s="1"/>
    </row>
    <row r="30" spans="1:8" ht="16.5" customHeight="1" x14ac:dyDescent="0.25">
      <c r="A30" s="1"/>
      <c r="B30" s="1"/>
      <c r="C30" s="30" t="str">
        <f ca="1"/>
        <v/>
      </c>
      <c r="D30" s="1"/>
      <c r="E30" s="1"/>
      <c r="F30" s="1"/>
      <c r="G30" s="1"/>
      <c r="H30" s="1"/>
    </row>
    <row r="31" spans="1:8" ht="16.5" customHeight="1" x14ac:dyDescent="0.25">
      <c r="A31" s="1"/>
      <c r="B31" s="1"/>
      <c r="C31" s="30" t="str">
        <f ca="1"/>
        <v>Let me know if anything here looks off.</v>
      </c>
      <c r="D31" s="1"/>
      <c r="E31" s="1"/>
      <c r="F31" s="1"/>
      <c r="G31" s="1"/>
      <c r="H31" s="1"/>
    </row>
    <row r="32" spans="1:8" ht="16.5" customHeight="1" x14ac:dyDescent="0.25">
      <c r="A32" s="1"/>
      <c r="B32" s="1"/>
      <c r="C32" s="30" t="str">
        <f ca="1"/>
        <v/>
      </c>
      <c r="D32" s="1"/>
      <c r="E32" s="1"/>
      <c r="F32" s="1"/>
      <c r="G32" s="1"/>
      <c r="H32" s="1"/>
    </row>
    <row r="33" spans="1:8" ht="16.5" customHeight="1" x14ac:dyDescent="0.25">
      <c r="A33" s="1"/>
      <c r="B33" s="1"/>
      <c r="C33" s="30" t="str">
        <f ca="1"/>
        <v>Thanks,</v>
      </c>
      <c r="D33" s="1"/>
      <c r="E33" s="1"/>
      <c r="F33" s="1"/>
      <c r="G33" s="1"/>
      <c r="H33" s="1"/>
    </row>
    <row r="34" spans="1:8" ht="16.5" customHeight="1" x14ac:dyDescent="0.25">
      <c r="A34" s="1"/>
      <c r="B34" s="1"/>
      <c r="C34" s="30" t="str">
        <f ca="1"/>
        <v>Sara</v>
      </c>
      <c r="D34" s="1"/>
      <c r="E34" s="1"/>
      <c r="F34" s="1"/>
      <c r="G34" s="1"/>
      <c r="H34" s="1"/>
    </row>
    <row r="35" spans="1:8" ht="16.5" customHeight="1" x14ac:dyDescent="0.25">
      <c r="A35" s="1"/>
      <c r="B35" s="1"/>
      <c r="C35" s="30"/>
      <c r="D35" s="1"/>
      <c r="E35" s="1"/>
      <c r="F35" s="1"/>
      <c r="G35" s="1"/>
      <c r="H35" s="1"/>
    </row>
    <row r="36" spans="1:8" ht="16.5" customHeight="1" x14ac:dyDescent="0.25">
      <c r="A36" s="1"/>
      <c r="B36" s="1"/>
      <c r="C36" s="30"/>
      <c r="D36" s="1"/>
      <c r="E36" s="1"/>
      <c r="F36" s="1"/>
      <c r="G36" s="1"/>
      <c r="H36" s="1"/>
    </row>
    <row r="37" spans="1:8" ht="16.5" customHeight="1" x14ac:dyDescent="0.25">
      <c r="A37" s="1"/>
      <c r="B37" s="1"/>
      <c r="C37" s="30"/>
      <c r="D37" s="1"/>
      <c r="E37" s="1"/>
      <c r="F37" s="1"/>
      <c r="G37" s="1"/>
      <c r="H37" s="1"/>
    </row>
    <row r="38" spans="1:8" ht="16.5" customHeight="1" x14ac:dyDescent="0.25">
      <c r="A38" s="1"/>
      <c r="B38" s="1"/>
      <c r="C38" s="30"/>
      <c r="D38" s="1"/>
      <c r="E38" s="1"/>
      <c r="F38" s="1"/>
      <c r="G38" s="1"/>
      <c r="H38" s="1"/>
    </row>
    <row r="39" spans="1:8" ht="16.5" customHeight="1" x14ac:dyDescent="0.25">
      <c r="A39" s="1"/>
      <c r="B39" s="1"/>
      <c r="C39" s="30"/>
      <c r="D39" s="1"/>
      <c r="E39" s="1"/>
      <c r="F39" s="1"/>
      <c r="G39" s="1"/>
      <c r="H39" s="1"/>
    </row>
    <row r="40" spans="1:8" ht="16.5" customHeight="1" x14ac:dyDescent="0.25">
      <c r="A40" s="1"/>
      <c r="B40" s="1"/>
      <c r="C40" s="30"/>
      <c r="D40" s="1"/>
      <c r="E40" s="1"/>
      <c r="F40" s="1"/>
      <c r="G40" s="1"/>
      <c r="H40" s="1"/>
    </row>
    <row r="41" spans="1:8" ht="16.5" customHeight="1" x14ac:dyDescent="0.25">
      <c r="A41" s="1"/>
      <c r="B41" s="1"/>
      <c r="C41" s="30"/>
      <c r="D41" s="1"/>
      <c r="E41" s="1"/>
      <c r="F41" s="1"/>
      <c r="G41" s="1"/>
      <c r="H41" s="1"/>
    </row>
    <row r="42" spans="1:8" ht="16.5" customHeight="1" x14ac:dyDescent="0.25">
      <c r="A42" s="1"/>
      <c r="B42" s="1"/>
      <c r="C42" s="30"/>
      <c r="D42" s="1"/>
      <c r="E42" s="1"/>
      <c r="F42" s="1"/>
      <c r="G42" s="1"/>
      <c r="H42" s="1"/>
    </row>
    <row r="43" spans="1:8" ht="16.5" customHeight="1" x14ac:dyDescent="0.25">
      <c r="A43" s="1"/>
      <c r="B43" s="1"/>
      <c r="C43" s="30"/>
      <c r="D43" s="1"/>
      <c r="E43" s="1"/>
      <c r="F43" s="1"/>
      <c r="G43" s="1"/>
      <c r="H43" s="1"/>
    </row>
    <row r="44" spans="1:8" ht="16.5" customHeight="1" x14ac:dyDescent="0.25">
      <c r="A44" s="1"/>
      <c r="B44" s="1"/>
      <c r="C44" s="30"/>
      <c r="D44" s="1"/>
      <c r="E44" s="1"/>
      <c r="F44" s="1"/>
      <c r="G44" s="1"/>
      <c r="H44" s="1"/>
    </row>
    <row r="45" spans="1:8" ht="16.5" customHeight="1" x14ac:dyDescent="0.25">
      <c r="A45" s="1"/>
      <c r="B45" s="1"/>
      <c r="C45" s="30"/>
      <c r="D45" s="1"/>
      <c r="E45" s="1"/>
      <c r="F45" s="1"/>
      <c r="G45" s="1"/>
      <c r="H45" s="1"/>
    </row>
    <row r="46" spans="1:8" ht="16.5" customHeight="1" x14ac:dyDescent="0.25">
      <c r="A46" s="1"/>
      <c r="B46" s="1"/>
      <c r="C46" s="30"/>
      <c r="D46" s="1"/>
      <c r="E46" s="1"/>
      <c r="F46" s="1"/>
      <c r="G46" s="1"/>
      <c r="H46" s="1"/>
    </row>
    <row r="47" spans="1:8" ht="16.5" customHeight="1" x14ac:dyDescent="0.25">
      <c r="A47" s="1"/>
      <c r="B47" s="1"/>
      <c r="C47" s="30"/>
      <c r="D47" s="1"/>
      <c r="E47" s="1"/>
      <c r="F47" s="1"/>
      <c r="G47" s="1"/>
      <c r="H47" s="1"/>
    </row>
    <row r="48" spans="1:8" ht="16.5" customHeight="1" x14ac:dyDescent="0.25">
      <c r="A48" s="1"/>
      <c r="B48" s="1"/>
      <c r="C48" s="30"/>
      <c r="D48" s="1"/>
      <c r="E48" s="1"/>
      <c r="F48" s="1"/>
      <c r="G48" s="1"/>
      <c r="H48" s="1"/>
    </row>
    <row r="49" spans="1:8" ht="16.5" customHeight="1" x14ac:dyDescent="0.25">
      <c r="A49" s="1"/>
      <c r="B49" s="1"/>
      <c r="C49" s="30"/>
      <c r="D49" s="1"/>
      <c r="E49" s="1"/>
      <c r="F49" s="1"/>
      <c r="G49" s="1"/>
      <c r="H49" s="1"/>
    </row>
    <row r="50" spans="1:8" ht="16.5" customHeight="1" x14ac:dyDescent="0.25">
      <c r="A50" s="1"/>
      <c r="B50" s="1"/>
      <c r="C50" s="30"/>
      <c r="D50" s="1"/>
      <c r="E50" s="1"/>
      <c r="F50" s="1"/>
      <c r="G50" s="1"/>
      <c r="H50" s="1"/>
    </row>
    <row r="51" spans="1:8" ht="16.5" customHeight="1" x14ac:dyDescent="0.25">
      <c r="A51" s="1"/>
      <c r="B51" s="1"/>
      <c r="C51" s="30"/>
      <c r="D51" s="1"/>
      <c r="E51" s="1"/>
      <c r="F51" s="1"/>
      <c r="G51" s="1"/>
      <c r="H51" s="1"/>
    </row>
    <row r="52" spans="1:8" ht="16.5" customHeight="1" x14ac:dyDescent="0.25">
      <c r="A52" s="1"/>
      <c r="B52" s="1"/>
      <c r="C52" s="30"/>
      <c r="D52" s="1"/>
      <c r="E52" s="1"/>
      <c r="F52" s="1"/>
      <c r="G52" s="1"/>
      <c r="H52" s="1"/>
    </row>
    <row r="53" spans="1:8" ht="16.5" customHeight="1" x14ac:dyDescent="0.25">
      <c r="A53" s="1"/>
      <c r="B53" s="1"/>
      <c r="C53" s="30"/>
      <c r="D53" s="1"/>
      <c r="E53" s="1"/>
      <c r="F53" s="1"/>
      <c r="G53" s="1"/>
      <c r="H53" s="1"/>
    </row>
    <row r="54" spans="1:8" ht="16.5" customHeight="1" x14ac:dyDescent="0.25">
      <c r="A54" s="1"/>
      <c r="B54" s="1"/>
      <c r="C54" s="30"/>
      <c r="D54" s="1"/>
      <c r="E54" s="1"/>
      <c r="F54" s="1"/>
      <c r="G54" s="1"/>
      <c r="H54" s="1"/>
    </row>
    <row r="55" spans="1:8" ht="16.5" customHeight="1" x14ac:dyDescent="0.25">
      <c r="A55" s="1"/>
      <c r="B55" s="1"/>
      <c r="C55" s="30"/>
      <c r="D55" s="1"/>
      <c r="E55" s="1"/>
      <c r="F55" s="1"/>
      <c r="G55" s="1"/>
      <c r="H55" s="1"/>
    </row>
    <row r="56" spans="1:8" ht="16.5" customHeight="1" x14ac:dyDescent="0.25">
      <c r="A56" s="1"/>
      <c r="B56" s="1"/>
      <c r="C56" s="30"/>
      <c r="D56" s="1"/>
      <c r="E56" s="1"/>
      <c r="F56" s="1"/>
      <c r="G56" s="1"/>
      <c r="H56" s="1"/>
    </row>
    <row r="57" spans="1:8" ht="16.5" customHeight="1" x14ac:dyDescent="0.25">
      <c r="A57" s="1"/>
      <c r="B57" s="1"/>
      <c r="C57" s="30"/>
      <c r="D57" s="1"/>
      <c r="E57" s="1"/>
      <c r="F57" s="1"/>
      <c r="G57" s="1"/>
      <c r="H57" s="1"/>
    </row>
    <row r="58" spans="1:8" ht="16.5" customHeight="1" x14ac:dyDescent="0.25">
      <c r="A58" s="1"/>
      <c r="B58" s="1"/>
      <c r="C58" s="30"/>
      <c r="D58" s="1"/>
      <c r="E58" s="1"/>
      <c r="F58" s="1"/>
      <c r="G58" s="1"/>
      <c r="H58" s="1"/>
    </row>
    <row r="59" spans="1:8" ht="16.5" customHeight="1" x14ac:dyDescent="0.25">
      <c r="A59" s="1"/>
      <c r="B59" s="1"/>
      <c r="C59" s="30"/>
      <c r="D59" s="1"/>
      <c r="E59" s="1"/>
      <c r="F59" s="1"/>
      <c r="G59" s="1"/>
      <c r="H59" s="1"/>
    </row>
    <row r="60" spans="1:8" ht="16.5" customHeight="1" x14ac:dyDescent="0.25">
      <c r="A60" s="1"/>
      <c r="B60" s="1"/>
      <c r="C60" s="30"/>
      <c r="D60" s="1"/>
      <c r="E60" s="1"/>
      <c r="F60" s="1"/>
      <c r="G60" s="1"/>
      <c r="H60" s="1"/>
    </row>
    <row r="61" spans="1:8" ht="16.5" customHeight="1" x14ac:dyDescent="0.25">
      <c r="A61" s="1"/>
      <c r="B61" s="1"/>
      <c r="C61" s="30"/>
      <c r="D61" s="1"/>
      <c r="E61" s="1"/>
      <c r="F61" s="1"/>
      <c r="G61" s="1"/>
      <c r="H61" s="1"/>
    </row>
    <row r="62" spans="1:8" ht="16.5" customHeight="1" x14ac:dyDescent="0.25">
      <c r="A62" s="1"/>
      <c r="B62" s="1"/>
      <c r="C62" s="30"/>
      <c r="D62" s="1"/>
      <c r="E62" s="1"/>
      <c r="F62" s="1"/>
      <c r="G62" s="1"/>
      <c r="H62" s="1"/>
    </row>
    <row r="63" spans="1:8" ht="16.5" customHeight="1" x14ac:dyDescent="0.25">
      <c r="A63" s="1"/>
      <c r="B63" s="1"/>
      <c r="C63" s="30"/>
      <c r="D63" s="1"/>
      <c r="E63" s="1"/>
      <c r="F63" s="1"/>
      <c r="G63" s="1"/>
      <c r="H63" s="1"/>
    </row>
    <row r="64" spans="1:8" ht="16.5" customHeight="1" x14ac:dyDescent="0.25">
      <c r="A64" s="1"/>
      <c r="B64" s="1"/>
      <c r="C64" s="30"/>
      <c r="D64" s="1"/>
      <c r="E64" s="1"/>
      <c r="F64" s="1"/>
      <c r="G64" s="1"/>
      <c r="H64" s="1"/>
    </row>
    <row r="65" spans="1:8" ht="16.5" customHeight="1" x14ac:dyDescent="0.25">
      <c r="A65" s="1"/>
      <c r="B65" s="1"/>
      <c r="C65" s="30"/>
      <c r="D65" s="1"/>
      <c r="E65" s="1"/>
      <c r="F65" s="1"/>
      <c r="G65" s="1"/>
      <c r="H65" s="1"/>
    </row>
    <row r="66" spans="1:8" ht="16.5" customHeight="1" x14ac:dyDescent="0.25">
      <c r="A66" s="1"/>
      <c r="B66" s="1"/>
      <c r="C66" s="30"/>
      <c r="D66" s="1"/>
      <c r="E66" s="1"/>
      <c r="F66" s="1"/>
      <c r="G66" s="1"/>
      <c r="H66" s="1"/>
    </row>
    <row r="67" spans="1:8" ht="16.5" customHeight="1" x14ac:dyDescent="0.25">
      <c r="A67" s="1"/>
      <c r="B67" s="1"/>
      <c r="C67" s="30"/>
      <c r="D67" s="1"/>
      <c r="E67" s="1"/>
      <c r="F67" s="1"/>
      <c r="G67" s="1"/>
      <c r="H67" s="1"/>
    </row>
    <row r="68" spans="1:8" ht="16.5" customHeight="1" x14ac:dyDescent="0.25">
      <c r="A68" s="1"/>
      <c r="B68" s="1"/>
      <c r="C68" s="30"/>
      <c r="D68" s="1"/>
      <c r="E68" s="1"/>
      <c r="F68" s="1"/>
      <c r="G68" s="1"/>
      <c r="H68" s="1"/>
    </row>
    <row r="69" spans="1:8" ht="16.5" customHeight="1" x14ac:dyDescent="0.25">
      <c r="A69" s="1"/>
      <c r="B69" s="1"/>
      <c r="C69" s="30"/>
      <c r="D69" s="1"/>
      <c r="E69" s="1"/>
      <c r="F69" s="1"/>
      <c r="G69" s="1"/>
      <c r="H69" s="1"/>
    </row>
    <row r="70" spans="1:8" ht="16.5" customHeight="1" x14ac:dyDescent="0.25">
      <c r="A70" s="1"/>
      <c r="B70" s="1"/>
      <c r="C70" s="30"/>
      <c r="D70" s="1"/>
      <c r="E70" s="1"/>
      <c r="F70" s="1"/>
      <c r="G70" s="1"/>
      <c r="H70" s="1"/>
    </row>
    <row r="71" spans="1:8" ht="16.5" customHeight="1" x14ac:dyDescent="0.25">
      <c r="A71" s="1"/>
      <c r="B71" s="1"/>
      <c r="C71" s="30"/>
      <c r="D71" s="1"/>
      <c r="E71" s="1"/>
      <c r="F71" s="1"/>
      <c r="G71" s="1"/>
      <c r="H71" s="1"/>
    </row>
    <row r="72" spans="1:8" ht="16.5" customHeight="1" x14ac:dyDescent="0.25">
      <c r="A72" s="1"/>
      <c r="B72" s="1"/>
      <c r="C72" s="30"/>
      <c r="D72" s="1"/>
      <c r="E72" s="1"/>
      <c r="F72" s="1"/>
      <c r="G72" s="1"/>
      <c r="H72" s="1"/>
    </row>
    <row r="73" spans="1:8" ht="16.5" customHeight="1" x14ac:dyDescent="0.25">
      <c r="A73" s="1"/>
      <c r="B73" s="1"/>
      <c r="C73" s="30"/>
      <c r="D73" s="1"/>
      <c r="E73" s="1"/>
      <c r="F73" s="1"/>
      <c r="G73" s="1"/>
      <c r="H73" s="1"/>
    </row>
    <row r="74" spans="1:8" ht="16.5" customHeight="1" x14ac:dyDescent="0.25">
      <c r="A74" s="1"/>
      <c r="B74" s="1"/>
      <c r="C74" s="30"/>
      <c r="D74" s="1"/>
      <c r="E74" s="1"/>
      <c r="F74" s="1"/>
      <c r="G74" s="1"/>
      <c r="H74" s="1"/>
    </row>
    <row r="75" spans="1:8" ht="16.5" customHeight="1" x14ac:dyDescent="0.25">
      <c r="A75" s="1"/>
      <c r="B75" s="1"/>
      <c r="C75" s="30"/>
      <c r="D75" s="1"/>
      <c r="E75" s="1"/>
      <c r="F75" s="1"/>
      <c r="G75" s="1"/>
      <c r="H75" s="1"/>
    </row>
    <row r="76" spans="1:8" ht="16.5" customHeight="1" x14ac:dyDescent="0.25">
      <c r="A76" s="1"/>
      <c r="B76" s="1"/>
      <c r="C76" s="30"/>
      <c r="D76" s="1"/>
      <c r="E76" s="1"/>
      <c r="F76" s="1"/>
      <c r="G76" s="1"/>
      <c r="H76" s="1"/>
    </row>
    <row r="77" spans="1:8" ht="16.5" customHeight="1" x14ac:dyDescent="0.25">
      <c r="A77" s="1"/>
      <c r="B77" s="1"/>
      <c r="C77" s="30"/>
      <c r="D77" s="1"/>
      <c r="E77" s="1"/>
      <c r="F77" s="1"/>
      <c r="G77" s="1"/>
      <c r="H77" s="1"/>
    </row>
    <row r="78" spans="1:8" ht="16.5" customHeight="1" x14ac:dyDescent="0.25">
      <c r="A78" s="1"/>
      <c r="B78" s="1"/>
      <c r="C78" s="30"/>
      <c r="D78" s="1"/>
      <c r="E78" s="1"/>
      <c r="F78" s="1"/>
      <c r="G78" s="1"/>
      <c r="H78" s="1"/>
    </row>
    <row r="79" spans="1:8" ht="16.5" customHeight="1" x14ac:dyDescent="0.25">
      <c r="A79" s="1"/>
      <c r="B79" s="1"/>
      <c r="C79" s="30"/>
      <c r="D79" s="1"/>
      <c r="E79" s="1"/>
      <c r="F79" s="1"/>
      <c r="G79" s="1"/>
      <c r="H79" s="1"/>
    </row>
    <row r="80" spans="1:8" ht="16.5" customHeight="1" x14ac:dyDescent="0.25">
      <c r="A80" s="1"/>
      <c r="B80" s="1"/>
      <c r="C80" s="30"/>
      <c r="D80" s="1"/>
      <c r="E80" s="1"/>
      <c r="F80" s="1"/>
      <c r="G80" s="1"/>
      <c r="H80" s="1"/>
    </row>
    <row r="81" spans="1:8" ht="16.5" customHeight="1" x14ac:dyDescent="0.25">
      <c r="A81" s="1"/>
      <c r="B81" s="1"/>
      <c r="C81" s="30"/>
      <c r="D81" s="1"/>
      <c r="E81" s="1"/>
      <c r="F81" s="1"/>
      <c r="G81" s="1"/>
      <c r="H81" s="1"/>
    </row>
    <row r="82" spans="1:8" ht="16.5" customHeight="1" x14ac:dyDescent="0.25">
      <c r="A82" s="1"/>
      <c r="B82" s="1"/>
      <c r="C82" s="30"/>
      <c r="D82" s="1"/>
      <c r="E82" s="1"/>
      <c r="F82" s="1"/>
      <c r="G82" s="1"/>
      <c r="H82" s="1"/>
    </row>
    <row r="83" spans="1:8" ht="16.5" customHeight="1" x14ac:dyDescent="0.25">
      <c r="A83" s="1"/>
      <c r="B83" s="1"/>
      <c r="C83" s="30"/>
      <c r="D83" s="1"/>
      <c r="E83" s="1"/>
      <c r="F83" s="1"/>
      <c r="G83" s="1"/>
      <c r="H83" s="1"/>
    </row>
    <row r="84" spans="1:8" ht="16.5" customHeight="1" x14ac:dyDescent="0.25">
      <c r="A84" s="1"/>
      <c r="B84" s="1"/>
      <c r="C84" s="30"/>
      <c r="D84" s="1"/>
      <c r="E84" s="1"/>
      <c r="F84" s="1"/>
      <c r="G84" s="1"/>
      <c r="H84" s="1"/>
    </row>
    <row r="85" spans="1:8" ht="16.5" customHeight="1" x14ac:dyDescent="0.25">
      <c r="A85" s="1"/>
      <c r="B85" s="1"/>
      <c r="C85" s="30"/>
      <c r="D85" s="1"/>
      <c r="E85" s="1"/>
      <c r="F85" s="1"/>
      <c r="G85" s="1"/>
      <c r="H85" s="1"/>
    </row>
    <row r="86" spans="1:8" ht="16.5" customHeight="1" x14ac:dyDescent="0.25">
      <c r="A86" s="1"/>
      <c r="B86" s="1"/>
      <c r="C86" s="30"/>
      <c r="D86" s="1"/>
      <c r="E86" s="1"/>
      <c r="F86" s="1"/>
      <c r="G86" s="1"/>
      <c r="H86" s="1"/>
    </row>
    <row r="87" spans="1:8" ht="16.5" customHeight="1" x14ac:dyDescent="0.25">
      <c r="A87" s="1"/>
      <c r="B87" s="1"/>
      <c r="C87" s="30"/>
      <c r="D87" s="1"/>
      <c r="E87" s="1"/>
      <c r="F87" s="1"/>
      <c r="G87" s="1"/>
      <c r="H87" s="1"/>
    </row>
    <row r="88" spans="1:8" ht="16.5" customHeight="1" x14ac:dyDescent="0.25">
      <c r="A88" s="1"/>
      <c r="B88" s="1"/>
      <c r="C88" s="30"/>
      <c r="D88" s="1"/>
      <c r="E88" s="1"/>
      <c r="F88" s="1"/>
      <c r="G88" s="1"/>
      <c r="H88" s="1"/>
    </row>
    <row r="89" spans="1:8" ht="16.5" customHeight="1" x14ac:dyDescent="0.25">
      <c r="A89" s="1"/>
      <c r="B89" s="1"/>
      <c r="C89" s="30"/>
      <c r="D89" s="1"/>
      <c r="E89" s="1"/>
      <c r="F89" s="1"/>
      <c r="G89" s="1"/>
      <c r="H89" s="1"/>
    </row>
    <row r="90" spans="1:8" ht="16.5" customHeight="1" x14ac:dyDescent="0.25">
      <c r="A90" s="1"/>
      <c r="B90" s="1"/>
      <c r="C90" s="30"/>
      <c r="D90" s="1"/>
      <c r="E90" s="1"/>
      <c r="F90" s="1"/>
      <c r="G90" s="1"/>
      <c r="H90" s="1"/>
    </row>
    <row r="91" spans="1:8" ht="16.5" customHeight="1" x14ac:dyDescent="0.25">
      <c r="A91" s="1"/>
      <c r="B91" s="1"/>
      <c r="C91" s="30"/>
      <c r="D91" s="1"/>
      <c r="E91" s="1"/>
      <c r="F91" s="1"/>
      <c r="G91" s="1"/>
      <c r="H91" s="1"/>
    </row>
    <row r="92" spans="1:8" ht="16.5" customHeight="1" x14ac:dyDescent="0.25">
      <c r="A92" s="1"/>
      <c r="B92" s="1"/>
      <c r="C92" s="30"/>
      <c r="D92" s="1"/>
      <c r="E92" s="1"/>
      <c r="F92" s="1"/>
      <c r="G92" s="1"/>
      <c r="H92" s="1"/>
    </row>
    <row r="93" spans="1:8" ht="16.5" customHeight="1" x14ac:dyDescent="0.25">
      <c r="A93" s="1"/>
      <c r="B93" s="1"/>
      <c r="C93" s="30"/>
      <c r="D93" s="1"/>
      <c r="E93" s="1"/>
      <c r="F93" s="1"/>
      <c r="G93" s="1"/>
      <c r="H93" s="1"/>
    </row>
    <row r="94" spans="1:8" ht="16.5" customHeight="1" x14ac:dyDescent="0.25">
      <c r="A94" s="1"/>
      <c r="B94" s="1"/>
      <c r="C94" s="30"/>
      <c r="D94" s="1"/>
      <c r="E94" s="1"/>
      <c r="F94" s="1"/>
      <c r="G94" s="1"/>
      <c r="H94" s="1"/>
    </row>
    <row r="95" spans="1:8" ht="16.5" customHeight="1" x14ac:dyDescent="0.25">
      <c r="A95" s="1"/>
      <c r="B95" s="1"/>
      <c r="C95" s="30"/>
      <c r="D95" s="1"/>
      <c r="E95" s="1"/>
      <c r="F95" s="1"/>
      <c r="G95" s="1"/>
      <c r="H95" s="1"/>
    </row>
    <row r="96" spans="1:8" ht="16.5" customHeight="1" x14ac:dyDescent="0.25">
      <c r="A96" s="1"/>
      <c r="B96" s="1"/>
      <c r="C96" s="30"/>
      <c r="D96" s="1"/>
      <c r="E96" s="1"/>
      <c r="F96" s="1"/>
      <c r="G96" s="1"/>
      <c r="H96" s="1"/>
    </row>
    <row r="97" spans="1:8" ht="16.5" customHeight="1" x14ac:dyDescent="0.25">
      <c r="A97" s="1"/>
      <c r="B97" s="1"/>
      <c r="C97" s="30"/>
      <c r="D97" s="1"/>
      <c r="E97" s="1"/>
      <c r="F97" s="1"/>
      <c r="G97" s="1"/>
      <c r="H97" s="1"/>
    </row>
    <row r="98" spans="1:8" ht="16.5" customHeight="1" x14ac:dyDescent="0.25">
      <c r="A98" s="1"/>
      <c r="B98" s="1"/>
      <c r="C98" s="30"/>
      <c r="D98" s="1"/>
      <c r="E98" s="1"/>
      <c r="F98" s="1"/>
      <c r="G98" s="1"/>
      <c r="H98" s="1"/>
    </row>
    <row r="99" spans="1:8" ht="16.5" customHeight="1" x14ac:dyDescent="0.25">
      <c r="A99" s="1"/>
      <c r="B99" s="1"/>
      <c r="C99" s="30"/>
      <c r="D99" s="1"/>
      <c r="E99" s="1"/>
      <c r="F99" s="1"/>
      <c r="G99" s="1"/>
      <c r="H99" s="1"/>
    </row>
    <row r="100" spans="1:8" ht="16.5" customHeight="1" x14ac:dyDescent="0.25">
      <c r="A100" s="1"/>
      <c r="B100" s="1"/>
      <c r="C100" s="30"/>
      <c r="D100" s="1"/>
      <c r="E100" s="1"/>
      <c r="F100" s="1"/>
      <c r="G100" s="1"/>
      <c r="H100" s="1"/>
    </row>
    <row r="101" spans="1:8" ht="16.5" customHeight="1" x14ac:dyDescent="0.25">
      <c r="A101" s="1"/>
      <c r="B101" s="1"/>
      <c r="C101" s="30"/>
      <c r="D101" s="1"/>
      <c r="E101" s="1"/>
      <c r="F101" s="1"/>
      <c r="G101" s="1"/>
      <c r="H101" s="1"/>
    </row>
    <row r="102" spans="1:8" ht="16.5" customHeight="1" x14ac:dyDescent="0.25">
      <c r="A102" s="1"/>
      <c r="B102" s="1"/>
      <c r="C102" s="30"/>
      <c r="D102" s="1"/>
      <c r="E102" s="1"/>
      <c r="F102" s="1"/>
      <c r="G102" s="1"/>
      <c r="H102" s="1"/>
    </row>
    <row r="103" spans="1:8" ht="16.5" customHeight="1" x14ac:dyDescent="0.25">
      <c r="A103" s="1"/>
      <c r="B103" s="1"/>
      <c r="C103" s="30"/>
      <c r="D103" s="1"/>
      <c r="E103" s="1"/>
      <c r="F103" s="1"/>
      <c r="G103" s="1"/>
      <c r="H103" s="1"/>
    </row>
    <row r="104" spans="1:8" ht="16.5" customHeight="1" x14ac:dyDescent="0.25">
      <c r="A104" s="1"/>
      <c r="B104" s="1"/>
      <c r="C104" s="30"/>
      <c r="D104" s="1"/>
      <c r="E104" s="1"/>
      <c r="F104" s="1"/>
      <c r="G104" s="1"/>
      <c r="H104" s="1"/>
    </row>
    <row r="105" spans="1:8" ht="16.5" customHeight="1" x14ac:dyDescent="0.25">
      <c r="A105" s="1"/>
      <c r="B105" s="1"/>
      <c r="C105" s="30"/>
      <c r="D105" s="1"/>
      <c r="E105" s="1"/>
      <c r="F105" s="1"/>
      <c r="G105" s="1"/>
      <c r="H105" s="1"/>
    </row>
    <row r="106" spans="1:8" ht="16.5" customHeight="1" x14ac:dyDescent="0.25">
      <c r="A106" s="1"/>
      <c r="B106" s="1"/>
      <c r="C106" s="30"/>
      <c r="D106" s="1"/>
      <c r="E106" s="1"/>
      <c r="F106" s="1"/>
      <c r="G106" s="1"/>
      <c r="H106" s="1"/>
    </row>
    <row r="107" spans="1:8" ht="16.5" customHeight="1" x14ac:dyDescent="0.25">
      <c r="A107" s="1"/>
      <c r="B107" s="1"/>
      <c r="C107" s="30"/>
      <c r="D107" s="1"/>
      <c r="E107" s="1"/>
      <c r="F107" s="1"/>
      <c r="G107" s="1"/>
      <c r="H107" s="1"/>
    </row>
    <row r="108" spans="1:8" ht="16.5" customHeight="1" x14ac:dyDescent="0.25">
      <c r="A108" s="1"/>
      <c r="B108" s="1"/>
      <c r="C108" s="30"/>
      <c r="D108" s="1"/>
      <c r="E108" s="1"/>
      <c r="F108" s="1"/>
      <c r="G108" s="1"/>
      <c r="H108" s="1"/>
    </row>
    <row r="109" spans="1:8" ht="16.5" customHeight="1" x14ac:dyDescent="0.25">
      <c r="A109" s="1"/>
      <c r="B109" s="1"/>
      <c r="C109" s="30"/>
      <c r="D109" s="1"/>
      <c r="E109" s="1"/>
      <c r="F109" s="1"/>
      <c r="G109" s="1"/>
      <c r="H109" s="1"/>
    </row>
    <row r="110" spans="1:8" ht="16.5" customHeight="1" x14ac:dyDescent="0.25">
      <c r="A110" s="1"/>
      <c r="B110" s="1"/>
      <c r="C110" s="30"/>
      <c r="D110" s="1"/>
      <c r="E110" s="1"/>
      <c r="F110" s="1"/>
      <c r="G110" s="1"/>
      <c r="H110" s="1"/>
    </row>
    <row r="111" spans="1:8" ht="16.5" customHeight="1" x14ac:dyDescent="0.25">
      <c r="C111" s="30"/>
    </row>
    <row r="112" spans="1:8" ht="16.5" customHeight="1" x14ac:dyDescent="0.25">
      <c r="C112" s="30"/>
    </row>
    <row r="113" spans="3:3" ht="16.5" customHeight="1" x14ac:dyDescent="0.25">
      <c r="C113" s="30"/>
    </row>
    <row r="114" spans="3:3" ht="16.5" customHeight="1" x14ac:dyDescent="0.25">
      <c r="C114" s="30"/>
    </row>
    <row r="115" spans="3:3" ht="16.5" customHeight="1" x14ac:dyDescent="0.25">
      <c r="C115" s="30"/>
    </row>
    <row r="116" spans="3:3" ht="16.5" customHeight="1" x14ac:dyDescent="0.25">
      <c r="C116" s="30"/>
    </row>
    <row r="117" spans="3:3" ht="16.5" customHeight="1" x14ac:dyDescent="0.25">
      <c r="C117" s="30"/>
    </row>
    <row r="118" spans="3:3" ht="16.5" customHeight="1" x14ac:dyDescent="0.25">
      <c r="C118" s="30"/>
    </row>
    <row r="119" spans="3:3" ht="16.5" customHeight="1" x14ac:dyDescent="0.25">
      <c r="C119" s="30"/>
    </row>
    <row r="120" spans="3:3" ht="16.5" customHeight="1" x14ac:dyDescent="0.25">
      <c r="C120" s="30"/>
    </row>
    <row r="121" spans="3:3" ht="16.5" customHeight="1" x14ac:dyDescent="0.25">
      <c r="C121" s="30"/>
    </row>
    <row r="122" spans="3:3" ht="16.5" customHeight="1" x14ac:dyDescent="0.25">
      <c r="C122" s="30"/>
    </row>
    <row r="123" spans="3:3" ht="16.5" customHeight="1" x14ac:dyDescent="0.25">
      <c r="C123" s="30"/>
    </row>
    <row r="124" spans="3:3" ht="16.5" customHeight="1" x14ac:dyDescent="0.25">
      <c r="C124" s="30"/>
    </row>
    <row r="125" spans="3:3" ht="16.5" customHeight="1" x14ac:dyDescent="0.25">
      <c r="C125" s="30"/>
    </row>
    <row r="126" spans="3:3" ht="16.5" customHeight="1" x14ac:dyDescent="0.25">
      <c r="C126" s="30"/>
    </row>
    <row r="127" spans="3:3" ht="16.5" customHeight="1" x14ac:dyDescent="0.25">
      <c r="C127" s="30"/>
    </row>
    <row r="128" spans="3:3" ht="16.5" customHeight="1" x14ac:dyDescent="0.25">
      <c r="C128" s="30"/>
    </row>
    <row r="129" spans="3:3" ht="16.5" customHeight="1" x14ac:dyDescent="0.25">
      <c r="C129" s="30"/>
    </row>
    <row r="130" spans="3:3" ht="16.5" customHeight="1" x14ac:dyDescent="0.25">
      <c r="C130" s="30"/>
    </row>
    <row r="131" spans="3:3" ht="16.5" customHeight="1" x14ac:dyDescent="0.25">
      <c r="C131" s="30"/>
    </row>
    <row r="132" spans="3:3" ht="16.5" customHeight="1" x14ac:dyDescent="0.25">
      <c r="C132" s="30"/>
    </row>
    <row r="133" spans="3:3" ht="16.5" customHeight="1" x14ac:dyDescent="0.25">
      <c r="C133" s="30"/>
    </row>
    <row r="134" spans="3:3" ht="16.5" customHeight="1" x14ac:dyDescent="0.25">
      <c r="C134" s="30"/>
    </row>
    <row r="135" spans="3:3" ht="16.5" customHeight="1" x14ac:dyDescent="0.25">
      <c r="C135" s="30"/>
    </row>
    <row r="136" spans="3:3" ht="16.5" customHeight="1" x14ac:dyDescent="0.25">
      <c r="C136" s="30"/>
    </row>
    <row r="137" spans="3:3" ht="16.5" customHeight="1" x14ac:dyDescent="0.25">
      <c r="C137" s="30"/>
    </row>
    <row r="138" spans="3:3" ht="16.5" customHeight="1" x14ac:dyDescent="0.25">
      <c r="C138" s="30"/>
    </row>
    <row r="139" spans="3:3" ht="16.5" customHeight="1" x14ac:dyDescent="0.25">
      <c r="C139" s="30"/>
    </row>
    <row r="140" spans="3:3" ht="16.5" customHeight="1" x14ac:dyDescent="0.25">
      <c r="C140" s="30"/>
    </row>
    <row r="141" spans="3:3" ht="16.5" customHeight="1" x14ac:dyDescent="0.25">
      <c r="C141" s="30"/>
    </row>
    <row r="142" spans="3:3" ht="16.5" customHeight="1" x14ac:dyDescent="0.25">
      <c r="C142" s="30"/>
    </row>
    <row r="143" spans="3:3" ht="16.5" customHeight="1" x14ac:dyDescent="0.25">
      <c r="C143" s="30"/>
    </row>
    <row r="144" spans="3:3" ht="16.5" customHeight="1" x14ac:dyDescent="0.25">
      <c r="C144" s="30"/>
    </row>
    <row r="145" spans="3:3" ht="16.5" customHeight="1" x14ac:dyDescent="0.25">
      <c r="C145" s="30"/>
    </row>
    <row r="146" spans="3:3" ht="16.5" customHeight="1" x14ac:dyDescent="0.25">
      <c r="C146" s="30"/>
    </row>
    <row r="147" spans="3:3" ht="16.5" customHeight="1" x14ac:dyDescent="0.25">
      <c r="C147" s="30"/>
    </row>
    <row r="148" spans="3:3" ht="16.5" customHeight="1" x14ac:dyDescent="0.25">
      <c r="C148" s="30"/>
    </row>
    <row r="149" spans="3:3" ht="16.5" customHeight="1" x14ac:dyDescent="0.25">
      <c r="C149" s="30"/>
    </row>
    <row r="150" spans="3:3" ht="16.5" customHeight="1" x14ac:dyDescent="0.25">
      <c r="C150" s="30"/>
    </row>
    <row r="151" spans="3:3" ht="16.5" customHeight="1" x14ac:dyDescent="0.25">
      <c r="C151" s="30"/>
    </row>
    <row r="152" spans="3:3" ht="16.5" customHeight="1" x14ac:dyDescent="0.25">
      <c r="C152" s="30"/>
    </row>
    <row r="153" spans="3:3" ht="16.5" customHeight="1" x14ac:dyDescent="0.25">
      <c r="C153" s="30"/>
    </row>
    <row r="154" spans="3:3" ht="16.5" customHeight="1" x14ac:dyDescent="0.25">
      <c r="C154" s="30"/>
    </row>
    <row r="155" spans="3:3" ht="16.5" customHeight="1" x14ac:dyDescent="0.25">
      <c r="C155" s="30"/>
    </row>
    <row r="156" spans="3:3" ht="16.5" customHeight="1" x14ac:dyDescent="0.25">
      <c r="C156" s="30"/>
    </row>
    <row r="157" spans="3:3" ht="16.5" customHeight="1" x14ac:dyDescent="0.25">
      <c r="C157" s="30"/>
    </row>
    <row r="158" spans="3:3" ht="16.5" customHeight="1" x14ac:dyDescent="0.25">
      <c r="C158" s="30"/>
    </row>
    <row r="159" spans="3:3" ht="16.5" customHeight="1" x14ac:dyDescent="0.25">
      <c r="C159" s="30"/>
    </row>
    <row r="160" spans="3:3" ht="16.5" customHeight="1" x14ac:dyDescent="0.25">
      <c r="C160" s="30"/>
    </row>
    <row r="161" spans="3:3" ht="16.5" customHeight="1" x14ac:dyDescent="0.25">
      <c r="C161" s="30"/>
    </row>
    <row r="162" spans="3:3" ht="16.5" customHeight="1" x14ac:dyDescent="0.25">
      <c r="C162" s="30"/>
    </row>
    <row r="163" spans="3:3" ht="16.5" customHeight="1" x14ac:dyDescent="0.25">
      <c r="C163" s="30"/>
    </row>
    <row r="164" spans="3:3" ht="16.5" customHeight="1" x14ac:dyDescent="0.25">
      <c r="C164" s="30"/>
    </row>
    <row r="165" spans="3:3" ht="16.5" customHeight="1" x14ac:dyDescent="0.25">
      <c r="C165" s="30"/>
    </row>
    <row r="166" spans="3:3" ht="16.5" customHeight="1" x14ac:dyDescent="0.25">
      <c r="C166" s="30"/>
    </row>
    <row r="167" spans="3:3" ht="16.5" customHeight="1" x14ac:dyDescent="0.25">
      <c r="C167" s="30"/>
    </row>
    <row r="168" spans="3:3" ht="16.5" customHeight="1" x14ac:dyDescent="0.25">
      <c r="C168" s="30"/>
    </row>
    <row r="169" spans="3:3" ht="16.5" customHeight="1" x14ac:dyDescent="0.25">
      <c r="C169" s="30"/>
    </row>
    <row r="170" spans="3:3" ht="16.5" customHeight="1" x14ac:dyDescent="0.25">
      <c r="C170" s="30"/>
    </row>
    <row r="171" spans="3:3" ht="16.5" customHeight="1" x14ac:dyDescent="0.25">
      <c r="C171" s="30"/>
    </row>
    <row r="172" spans="3:3" ht="16.5" customHeight="1" x14ac:dyDescent="0.25">
      <c r="C172" s="30"/>
    </row>
    <row r="173" spans="3:3" ht="16.5" customHeight="1" x14ac:dyDescent="0.25">
      <c r="C173" s="30"/>
    </row>
    <row r="174" spans="3:3" ht="16.5" customHeight="1" x14ac:dyDescent="0.25">
      <c r="C174" s="30"/>
    </row>
    <row r="175" spans="3:3" ht="16.5" customHeight="1" x14ac:dyDescent="0.25">
      <c r="C175" s="30"/>
    </row>
    <row r="176" spans="3:3" ht="16.5" customHeight="1" x14ac:dyDescent="0.25">
      <c r="C176" s="30"/>
    </row>
    <row r="177" spans="3:3" ht="16.5" customHeight="1" x14ac:dyDescent="0.25">
      <c r="C177" s="30"/>
    </row>
    <row r="178" spans="3:3" ht="16.5" customHeight="1" x14ac:dyDescent="0.25">
      <c r="C178" s="30"/>
    </row>
    <row r="179" spans="3:3" ht="16.5" customHeight="1" x14ac:dyDescent="0.25">
      <c r="C179" s="30"/>
    </row>
    <row r="180" spans="3:3" ht="16.5" customHeight="1" x14ac:dyDescent="0.25">
      <c r="C180" s="30"/>
    </row>
    <row r="181" spans="3:3" ht="16.5" customHeight="1" x14ac:dyDescent="0.25">
      <c r="C181" s="30"/>
    </row>
    <row r="182" spans="3:3" ht="16.5" customHeight="1" x14ac:dyDescent="0.25">
      <c r="C182" s="30"/>
    </row>
    <row r="183" spans="3:3" ht="16.5" customHeight="1" x14ac:dyDescent="0.25">
      <c r="C183" s="30"/>
    </row>
    <row r="184" spans="3:3" ht="16.5" customHeight="1" x14ac:dyDescent="0.25">
      <c r="C184" s="30"/>
    </row>
    <row r="185" spans="3:3" ht="16.5" customHeight="1" x14ac:dyDescent="0.25">
      <c r="C185" s="30"/>
    </row>
    <row r="186" spans="3:3" ht="16.5" customHeight="1" x14ac:dyDescent="0.25">
      <c r="C186" s="30"/>
    </row>
    <row r="187" spans="3:3" ht="16.5" customHeight="1" x14ac:dyDescent="0.25">
      <c r="C187" s="30"/>
    </row>
    <row r="188" spans="3:3" ht="16.5" customHeight="1" x14ac:dyDescent="0.25">
      <c r="C188" s="30"/>
    </row>
    <row r="189" spans="3:3" ht="16.5" customHeight="1" x14ac:dyDescent="0.25">
      <c r="C189" s="30"/>
    </row>
    <row r="190" spans="3:3" ht="16.5" customHeight="1" x14ac:dyDescent="0.25">
      <c r="C190" s="30"/>
    </row>
    <row r="191" spans="3:3" ht="16.5" customHeight="1" x14ac:dyDescent="0.25">
      <c r="C191" s="30"/>
    </row>
    <row r="192" spans="3:3" ht="16.5" customHeight="1" x14ac:dyDescent="0.25">
      <c r="C192" s="30"/>
    </row>
    <row r="193" spans="3:3" ht="16.5" customHeight="1" x14ac:dyDescent="0.25">
      <c r="C193" s="30"/>
    </row>
    <row r="194" spans="3:3" ht="16.5" customHeight="1" x14ac:dyDescent="0.25">
      <c r="C194" s="30"/>
    </row>
    <row r="195" spans="3:3" ht="16.5" customHeight="1" x14ac:dyDescent="0.25">
      <c r="C195" s="30"/>
    </row>
    <row r="196" spans="3:3" ht="16.5" customHeight="1" x14ac:dyDescent="0.25">
      <c r="C196" s="30"/>
    </row>
    <row r="197" spans="3:3" ht="16.5" customHeight="1" x14ac:dyDescent="0.25">
      <c r="C197" s="30"/>
    </row>
    <row r="198" spans="3:3" ht="16.5" customHeight="1" x14ac:dyDescent="0.25">
      <c r="C198" s="30"/>
    </row>
    <row r="199" spans="3:3" ht="16.5" customHeight="1" x14ac:dyDescent="0.25">
      <c r="C199" s="30"/>
    </row>
    <row r="200" spans="3:3" ht="16.5" customHeight="1" x14ac:dyDescent="0.25">
      <c r="C200" s="30"/>
    </row>
    <row r="201" spans="3:3" ht="16.5" customHeight="1" x14ac:dyDescent="0.25">
      <c r="C201" s="30"/>
    </row>
    <row r="202" spans="3:3" ht="16.5" customHeight="1" x14ac:dyDescent="0.25">
      <c r="C202" s="30"/>
    </row>
    <row r="203" spans="3:3" ht="16.5" customHeight="1" x14ac:dyDescent="0.25">
      <c r="C203" s="30"/>
    </row>
    <row r="204" spans="3:3" ht="16.5" customHeight="1" x14ac:dyDescent="0.25">
      <c r="C204" s="30"/>
    </row>
    <row r="205" spans="3:3" ht="16.5" customHeight="1" x14ac:dyDescent="0.25">
      <c r="C205" s="30"/>
    </row>
    <row r="206" spans="3:3" ht="16.5" customHeight="1" x14ac:dyDescent="0.25">
      <c r="C206" s="30"/>
    </row>
    <row r="207" spans="3:3" ht="16.5" customHeight="1" x14ac:dyDescent="0.25">
      <c r="C207" s="30"/>
    </row>
    <row r="208" spans="3:3" ht="16.5" customHeight="1" x14ac:dyDescent="0.25">
      <c r="C208" s="30"/>
    </row>
    <row r="209" spans="3:3" ht="16.5" customHeight="1" x14ac:dyDescent="0.25">
      <c r="C209" s="30"/>
    </row>
    <row r="210" spans="3:3" ht="16.5" customHeight="1" x14ac:dyDescent="0.25">
      <c r="C210" s="30"/>
    </row>
    <row r="211" spans="3:3" ht="16.5" customHeight="1" x14ac:dyDescent="0.25">
      <c r="C211" s="30"/>
    </row>
    <row r="212" spans="3:3" ht="16.5" customHeight="1" x14ac:dyDescent="0.25">
      <c r="C212" s="30"/>
    </row>
    <row r="213" spans="3:3" ht="16.5" customHeight="1" x14ac:dyDescent="0.25">
      <c r="C213" s="30"/>
    </row>
    <row r="214" spans="3:3" ht="16.5" customHeight="1" x14ac:dyDescent="0.25">
      <c r="C214" s="30"/>
    </row>
    <row r="215" spans="3:3" ht="16.5" customHeight="1" x14ac:dyDescent="0.25">
      <c r="C215" s="30"/>
    </row>
    <row r="216" spans="3:3" ht="16.5" customHeight="1" x14ac:dyDescent="0.25">
      <c r="C216" s="30"/>
    </row>
    <row r="217" spans="3:3" ht="16.5" customHeight="1" x14ac:dyDescent="0.25">
      <c r="C217" s="30"/>
    </row>
    <row r="218" spans="3:3" ht="16.5" customHeight="1" x14ac:dyDescent="0.25">
      <c r="C218" s="30"/>
    </row>
    <row r="219" spans="3:3" ht="16.5" customHeight="1" x14ac:dyDescent="0.25">
      <c r="C219" s="30"/>
    </row>
    <row r="220" spans="3:3" ht="16.5" customHeight="1" x14ac:dyDescent="0.25">
      <c r="C220" s="30"/>
    </row>
    <row r="221" spans="3:3" ht="16.5" customHeight="1" x14ac:dyDescent="0.25">
      <c r="C221" s="30"/>
    </row>
    <row r="222" spans="3:3" ht="16.5" customHeight="1" x14ac:dyDescent="0.25">
      <c r="C222" s="30"/>
    </row>
    <row r="223" spans="3:3" ht="16.5" customHeight="1" x14ac:dyDescent="0.25">
      <c r="C223" s="30"/>
    </row>
    <row r="224" spans="3:3" ht="16.5" customHeight="1" x14ac:dyDescent="0.25">
      <c r="C224" s="30"/>
    </row>
    <row r="225" spans="3:3" ht="16.5" customHeight="1" x14ac:dyDescent="0.25">
      <c r="C225" s="30"/>
    </row>
    <row r="226" spans="3:3" ht="16.5" customHeight="1" x14ac:dyDescent="0.25">
      <c r="C226" s="30"/>
    </row>
    <row r="227" spans="3:3" ht="16.5" customHeight="1" x14ac:dyDescent="0.25">
      <c r="C227" s="30"/>
    </row>
    <row r="228" spans="3:3" ht="16.5" customHeight="1" x14ac:dyDescent="0.25">
      <c r="C228" s="30"/>
    </row>
    <row r="229" spans="3:3" ht="16.5" customHeight="1" x14ac:dyDescent="0.25">
      <c r="C229" s="30"/>
    </row>
    <row r="230" spans="3:3" ht="16.5" customHeight="1" x14ac:dyDescent="0.25">
      <c r="C230" s="30"/>
    </row>
    <row r="231" spans="3:3" ht="16.5" customHeight="1" x14ac:dyDescent="0.25">
      <c r="C231" s="30"/>
    </row>
    <row r="232" spans="3:3" ht="16.5" customHeight="1" x14ac:dyDescent="0.25">
      <c r="C232" s="30"/>
    </row>
    <row r="233" spans="3:3" ht="16.5" customHeight="1" x14ac:dyDescent="0.25">
      <c r="C233" s="30"/>
    </row>
    <row r="234" spans="3:3" ht="16.5" customHeight="1" x14ac:dyDescent="0.25">
      <c r="C234" s="30"/>
    </row>
    <row r="235" spans="3:3" ht="16.5" customHeight="1" x14ac:dyDescent="0.25">
      <c r="C235" s="30"/>
    </row>
    <row r="236" spans="3:3" ht="16.5" customHeight="1" x14ac:dyDescent="0.25">
      <c r="C236" s="30"/>
    </row>
    <row r="237" spans="3:3" ht="16.5" customHeight="1" x14ac:dyDescent="0.25">
      <c r="C237" s="30"/>
    </row>
    <row r="238" spans="3:3" ht="16.5" customHeight="1" x14ac:dyDescent="0.25">
      <c r="C238" s="30"/>
    </row>
    <row r="239" spans="3:3" ht="16.5" customHeight="1" x14ac:dyDescent="0.25">
      <c r="C239" s="30"/>
    </row>
    <row r="240" spans="3:3" ht="16.5" customHeight="1" x14ac:dyDescent="0.25">
      <c r="C240" s="30"/>
    </row>
    <row r="241" spans="3:3" ht="16.5" customHeight="1" x14ac:dyDescent="0.25">
      <c r="C241" s="30"/>
    </row>
    <row r="242" spans="3:3" ht="16.5" customHeight="1" x14ac:dyDescent="0.25">
      <c r="C242" s="30"/>
    </row>
    <row r="243" spans="3:3" ht="16.5" customHeight="1" x14ac:dyDescent="0.25">
      <c r="C243" s="30"/>
    </row>
    <row r="244" spans="3:3" ht="16.5" customHeight="1" x14ac:dyDescent="0.25">
      <c r="C244" s="30"/>
    </row>
    <row r="245" spans="3:3" ht="16.5" customHeight="1" x14ac:dyDescent="0.25">
      <c r="C245" s="30"/>
    </row>
    <row r="246" spans="3:3" ht="16.5" customHeight="1" x14ac:dyDescent="0.25">
      <c r="C246" s="30"/>
    </row>
    <row r="247" spans="3:3" ht="16.5" customHeight="1" x14ac:dyDescent="0.25">
      <c r="C247" s="30"/>
    </row>
    <row r="248" spans="3:3" ht="16.5" customHeight="1" x14ac:dyDescent="0.25">
      <c r="C248" s="30"/>
    </row>
    <row r="249" spans="3:3" ht="16.5" customHeight="1" x14ac:dyDescent="0.25">
      <c r="C249" s="30"/>
    </row>
    <row r="250" spans="3:3" ht="16.5" customHeight="1" x14ac:dyDescent="0.25">
      <c r="C250" s="30"/>
    </row>
    <row r="251" spans="3:3" ht="16.5" customHeight="1" x14ac:dyDescent="0.25">
      <c r="C251" s="30"/>
    </row>
    <row r="252" spans="3:3" ht="16.5" customHeight="1" x14ac:dyDescent="0.25">
      <c r="C252" s="30"/>
    </row>
    <row r="253" spans="3:3" ht="16.5" customHeight="1" x14ac:dyDescent="0.25">
      <c r="C253" s="30"/>
    </row>
    <row r="254" spans="3:3" ht="16.5" customHeight="1" x14ac:dyDescent="0.25">
      <c r="C254" s="30"/>
    </row>
    <row r="255" spans="3:3" ht="16.5" customHeight="1" x14ac:dyDescent="0.25">
      <c r="C255" s="30"/>
    </row>
    <row r="256" spans="3:3" ht="16.5" customHeight="1" x14ac:dyDescent="0.25">
      <c r="C256" s="30"/>
    </row>
    <row r="257" spans="3:3" ht="16.5" customHeight="1" x14ac:dyDescent="0.25">
      <c r="C257" s="30"/>
    </row>
    <row r="258" spans="3:3" ht="16.5" customHeight="1" x14ac:dyDescent="0.25">
      <c r="C258" s="30"/>
    </row>
    <row r="259" spans="3:3" ht="16.5" customHeight="1" x14ac:dyDescent="0.25">
      <c r="C259" s="30"/>
    </row>
    <row r="260" spans="3:3" ht="16.5" customHeight="1" x14ac:dyDescent="0.25">
      <c r="C260" s="30"/>
    </row>
    <row r="261" spans="3:3" ht="16.5" customHeight="1" x14ac:dyDescent="0.25">
      <c r="C261" s="30"/>
    </row>
    <row r="262" spans="3:3" ht="16.5" customHeight="1" x14ac:dyDescent="0.25">
      <c r="C262" s="30"/>
    </row>
    <row r="263" spans="3:3" ht="16.5" customHeight="1" x14ac:dyDescent="0.25">
      <c r="C263" s="30"/>
    </row>
    <row r="264" spans="3:3" ht="16.5" customHeight="1" x14ac:dyDescent="0.25">
      <c r="C264" s="30"/>
    </row>
    <row r="265" spans="3:3" ht="16.5" customHeight="1" x14ac:dyDescent="0.25">
      <c r="C265" s="30"/>
    </row>
    <row r="266" spans="3:3" ht="16.5" customHeight="1" x14ac:dyDescent="0.25">
      <c r="C266" s="30"/>
    </row>
    <row r="267" spans="3:3" ht="16.5" customHeight="1" x14ac:dyDescent="0.25">
      <c r="C267" s="30"/>
    </row>
    <row r="268" spans="3:3" ht="16.5" customHeight="1" x14ac:dyDescent="0.25">
      <c r="C268" s="30"/>
    </row>
    <row r="269" spans="3:3" ht="16.5" customHeight="1" x14ac:dyDescent="0.25">
      <c r="C269" s="30"/>
    </row>
    <row r="270" spans="3:3" ht="16.5" customHeight="1" x14ac:dyDescent="0.25">
      <c r="C270" s="30"/>
    </row>
    <row r="271" spans="3:3" ht="16.5" customHeight="1" x14ac:dyDescent="0.25">
      <c r="C271" s="30"/>
    </row>
    <row r="272" spans="3:3" ht="16.5" customHeight="1" x14ac:dyDescent="0.25">
      <c r="C272" s="30"/>
    </row>
    <row r="273" spans="3:3" ht="16.5" customHeight="1" x14ac:dyDescent="0.25">
      <c r="C273" s="30"/>
    </row>
    <row r="274" spans="3:3" ht="16.5" customHeight="1" x14ac:dyDescent="0.25">
      <c r="C274" s="30"/>
    </row>
    <row r="275" spans="3:3" ht="16.5" customHeight="1" x14ac:dyDescent="0.25">
      <c r="C275" s="30"/>
    </row>
    <row r="276" spans="3:3" ht="16.5" customHeight="1" x14ac:dyDescent="0.25">
      <c r="C276" s="30"/>
    </row>
    <row r="277" spans="3:3" ht="16.5" customHeight="1" x14ac:dyDescent="0.25">
      <c r="C277" s="30"/>
    </row>
    <row r="278" spans="3:3" ht="16.5" customHeight="1" x14ac:dyDescent="0.25">
      <c r="C278" s="30"/>
    </row>
    <row r="279" spans="3:3" ht="16.5" customHeight="1" x14ac:dyDescent="0.25">
      <c r="C279" s="30"/>
    </row>
    <row r="280" spans="3:3" ht="16.5" customHeight="1" x14ac:dyDescent="0.25">
      <c r="C280" s="30"/>
    </row>
    <row r="281" spans="3:3" ht="16.5" customHeight="1" x14ac:dyDescent="0.25">
      <c r="C281" s="30"/>
    </row>
    <row r="282" spans="3:3" ht="16.5" customHeight="1" x14ac:dyDescent="0.25">
      <c r="C282" s="30"/>
    </row>
    <row r="283" spans="3:3" ht="16.5" customHeight="1" x14ac:dyDescent="0.25">
      <c r="C283" s="30"/>
    </row>
    <row r="284" spans="3:3" ht="16.5" customHeight="1" x14ac:dyDescent="0.25">
      <c r="C284" s="30"/>
    </row>
    <row r="285" spans="3:3" ht="16.5" customHeight="1" x14ac:dyDescent="0.25">
      <c r="C285" s="30"/>
    </row>
    <row r="286" spans="3:3" ht="16.5" customHeight="1" x14ac:dyDescent="0.25">
      <c r="C286" s="30"/>
    </row>
    <row r="287" spans="3:3" ht="16.5" customHeight="1" x14ac:dyDescent="0.25">
      <c r="C287" s="30"/>
    </row>
    <row r="288" spans="3:3" ht="16.5" customHeight="1" x14ac:dyDescent="0.25">
      <c r="C288" s="30"/>
    </row>
    <row r="289" spans="3:3" ht="16.5" customHeight="1" x14ac:dyDescent="0.25">
      <c r="C289" s="30"/>
    </row>
    <row r="290" spans="3:3" ht="16.5" customHeight="1" x14ac:dyDescent="0.25">
      <c r="C290" s="30"/>
    </row>
    <row r="291" spans="3:3" ht="16.5" customHeight="1" x14ac:dyDescent="0.25">
      <c r="C291" s="30"/>
    </row>
    <row r="292" spans="3:3" ht="16.5" customHeight="1" x14ac:dyDescent="0.25">
      <c r="C292" s="30"/>
    </row>
    <row r="293" spans="3:3" ht="16.5" customHeight="1" x14ac:dyDescent="0.25">
      <c r="C293" s="30"/>
    </row>
    <row r="294" spans="3:3" ht="16.5" customHeight="1" x14ac:dyDescent="0.25">
      <c r="C294" s="30"/>
    </row>
    <row r="295" spans="3:3" ht="16.5" customHeight="1" x14ac:dyDescent="0.25">
      <c r="C295" s="30"/>
    </row>
    <row r="296" spans="3:3" ht="16.5" customHeight="1" x14ac:dyDescent="0.25">
      <c r="C296" s="30"/>
    </row>
    <row r="297" spans="3:3" ht="16.5" customHeight="1" x14ac:dyDescent="0.25">
      <c r="C297" s="30"/>
    </row>
    <row r="298" spans="3:3" ht="16.5" customHeight="1" x14ac:dyDescent="0.25">
      <c r="C298" s="30"/>
    </row>
    <row r="299" spans="3:3" ht="16.5" customHeight="1" x14ac:dyDescent="0.25">
      <c r="C299" s="30"/>
    </row>
    <row r="300" spans="3:3" ht="16.5" customHeight="1" x14ac:dyDescent="0.25">
      <c r="C300" s="30"/>
    </row>
    <row r="301" spans="3:3" ht="16.5" customHeight="1" x14ac:dyDescent="0.25">
      <c r="C301" s="30"/>
    </row>
    <row r="302" spans="3:3" ht="16.5" customHeight="1" x14ac:dyDescent="0.25">
      <c r="C302" s="30"/>
    </row>
    <row r="303" spans="3:3" ht="16.5" customHeight="1" x14ac:dyDescent="0.25">
      <c r="C303" s="30"/>
    </row>
    <row r="304" spans="3:3" ht="16.5" customHeight="1" x14ac:dyDescent="0.25">
      <c r="C304" s="30"/>
    </row>
    <row r="305" spans="3:3" ht="16.5" customHeight="1" x14ac:dyDescent="0.25">
      <c r="C305" s="30"/>
    </row>
    <row r="306" spans="3:3" ht="16.5" customHeight="1" x14ac:dyDescent="0.25">
      <c r="C306" s="30"/>
    </row>
    <row r="307" spans="3:3" ht="16.5" customHeight="1" x14ac:dyDescent="0.25">
      <c r="C307" s="30"/>
    </row>
    <row r="308" spans="3:3" ht="16.5" customHeight="1" x14ac:dyDescent="0.25">
      <c r="C308" s="30"/>
    </row>
    <row r="309" spans="3:3" ht="16.5" customHeight="1" x14ac:dyDescent="0.25">
      <c r="C309" s="30"/>
    </row>
    <row r="310" spans="3:3" ht="16.5" customHeight="1" x14ac:dyDescent="0.25">
      <c r="C310" s="30"/>
    </row>
    <row r="311" spans="3:3" ht="16.5" customHeight="1" x14ac:dyDescent="0.25">
      <c r="C311" s="30"/>
    </row>
    <row r="312" spans="3:3" ht="16.5" customHeight="1" x14ac:dyDescent="0.25">
      <c r="C312" s="30"/>
    </row>
    <row r="313" spans="3:3" ht="16.5" customHeight="1" x14ac:dyDescent="0.25">
      <c r="C313" s="30"/>
    </row>
    <row r="314" spans="3:3" ht="16.5" customHeight="1" x14ac:dyDescent="0.25">
      <c r="C314" s="30"/>
    </row>
    <row r="315" spans="3:3" ht="16.5" customHeight="1" x14ac:dyDescent="0.25">
      <c r="C315" s="30"/>
    </row>
    <row r="316" spans="3:3" ht="16.5" customHeight="1" x14ac:dyDescent="0.25">
      <c r="C316" s="30"/>
    </row>
    <row r="317" spans="3:3" ht="16.5" customHeight="1" x14ac:dyDescent="0.25">
      <c r="C317" s="30"/>
    </row>
    <row r="318" spans="3:3" ht="16.5" customHeight="1" x14ac:dyDescent="0.25">
      <c r="C318" s="30"/>
    </row>
    <row r="319" spans="3:3" ht="16.5" customHeight="1" x14ac:dyDescent="0.25">
      <c r="C319" s="30"/>
    </row>
    <row r="320" spans="3:3" ht="16.5" customHeight="1" x14ac:dyDescent="0.25">
      <c r="C320" s="30"/>
    </row>
    <row r="321" spans="3:3" ht="16.5" customHeight="1" x14ac:dyDescent="0.25">
      <c r="C321" s="30"/>
    </row>
    <row r="322" spans="3:3" ht="16.5" customHeight="1" x14ac:dyDescent="0.25">
      <c r="C322" s="30"/>
    </row>
    <row r="323" spans="3:3" ht="16.5" customHeight="1" x14ac:dyDescent="0.25">
      <c r="C323" s="30"/>
    </row>
    <row r="324" spans="3:3" ht="16.5" customHeight="1" x14ac:dyDescent="0.25">
      <c r="C324" s="30"/>
    </row>
    <row r="325" spans="3:3" ht="16.5" customHeight="1" x14ac:dyDescent="0.25">
      <c r="C325" s="30"/>
    </row>
    <row r="326" spans="3:3" ht="16.5" customHeight="1" x14ac:dyDescent="0.25">
      <c r="C326" s="30"/>
    </row>
    <row r="327" spans="3:3" ht="16.5" customHeight="1" x14ac:dyDescent="0.25">
      <c r="C327" s="30"/>
    </row>
    <row r="328" spans="3:3" ht="16.5" customHeight="1" x14ac:dyDescent="0.25">
      <c r="C328" s="30"/>
    </row>
    <row r="329" spans="3:3" ht="16.5" customHeight="1" x14ac:dyDescent="0.25">
      <c r="C329" s="30"/>
    </row>
    <row r="330" spans="3:3" ht="16.5" customHeight="1" x14ac:dyDescent="0.25">
      <c r="C330" s="30"/>
    </row>
    <row r="331" spans="3:3" ht="16.5" customHeight="1" x14ac:dyDescent="0.25">
      <c r="C331" s="30"/>
    </row>
    <row r="332" spans="3:3" ht="16.5" customHeight="1" x14ac:dyDescent="0.25">
      <c r="C332" s="30"/>
    </row>
    <row r="333" spans="3:3" ht="16.5" customHeight="1" x14ac:dyDescent="0.25">
      <c r="C333" s="30"/>
    </row>
    <row r="334" spans="3:3" ht="16.5" customHeight="1" x14ac:dyDescent="0.25">
      <c r="C334" s="30"/>
    </row>
    <row r="335" spans="3:3" ht="16.5" customHeight="1" x14ac:dyDescent="0.25">
      <c r="C335" s="30"/>
    </row>
    <row r="336" spans="3:3" ht="16.5" customHeight="1" x14ac:dyDescent="0.25">
      <c r="C336" s="30"/>
    </row>
    <row r="337" spans="3:3" ht="16.5" customHeight="1" x14ac:dyDescent="0.25">
      <c r="C337" s="30"/>
    </row>
    <row r="338" spans="3:3" ht="16.5" customHeight="1" x14ac:dyDescent="0.25">
      <c r="C338" s="30"/>
    </row>
    <row r="339" spans="3:3" ht="16.5" customHeight="1" x14ac:dyDescent="0.25">
      <c r="C339" s="30"/>
    </row>
    <row r="340" spans="3:3" ht="16.5" customHeight="1" x14ac:dyDescent="0.25">
      <c r="C340" s="30"/>
    </row>
    <row r="341" spans="3:3" ht="16.5" customHeight="1" x14ac:dyDescent="0.25">
      <c r="C341" s="30"/>
    </row>
    <row r="342" spans="3:3" ht="16.5" customHeight="1" x14ac:dyDescent="0.25">
      <c r="C342" s="30"/>
    </row>
    <row r="343" spans="3:3" ht="16.5" customHeight="1" x14ac:dyDescent="0.25">
      <c r="C343" s="30"/>
    </row>
    <row r="344" spans="3:3" ht="16.5" customHeight="1" x14ac:dyDescent="0.25">
      <c r="C344" s="30"/>
    </row>
    <row r="345" spans="3:3" ht="16.5" customHeight="1" x14ac:dyDescent="0.25">
      <c r="C345" s="30"/>
    </row>
    <row r="346" spans="3:3" ht="16.5" customHeight="1" x14ac:dyDescent="0.25">
      <c r="C346" s="30"/>
    </row>
    <row r="347" spans="3:3" ht="16.5" customHeight="1" x14ac:dyDescent="0.25">
      <c r="C347" s="30"/>
    </row>
    <row r="348" spans="3:3" ht="16.5" customHeight="1" x14ac:dyDescent="0.25">
      <c r="C348" s="30"/>
    </row>
    <row r="349" spans="3:3" ht="16.5" customHeight="1" x14ac:dyDescent="0.25">
      <c r="C349" s="30"/>
    </row>
    <row r="350" spans="3:3" ht="16.5" customHeight="1" x14ac:dyDescent="0.25">
      <c r="C350" s="30"/>
    </row>
    <row r="351" spans="3:3" ht="16.5" customHeight="1" x14ac:dyDescent="0.25">
      <c r="C351" s="30"/>
    </row>
    <row r="352" spans="3:3" ht="16.5" customHeight="1" x14ac:dyDescent="0.25">
      <c r="C352" s="30"/>
    </row>
    <row r="353" spans="3:3" ht="16.5" customHeight="1" x14ac:dyDescent="0.25">
      <c r="C353" s="30"/>
    </row>
    <row r="354" spans="3:3" ht="16.5" customHeight="1" x14ac:dyDescent="0.25">
      <c r="C354" s="30"/>
    </row>
    <row r="355" spans="3:3" ht="16.5" customHeight="1" x14ac:dyDescent="0.25">
      <c r="C355" s="30"/>
    </row>
    <row r="356" spans="3:3" ht="16.5" customHeight="1" x14ac:dyDescent="0.25">
      <c r="C356" s="30"/>
    </row>
    <row r="357" spans="3:3" ht="16.5" customHeight="1" x14ac:dyDescent="0.25">
      <c r="C357" s="30"/>
    </row>
    <row r="358" spans="3:3" ht="16.5" customHeight="1" x14ac:dyDescent="0.25">
      <c r="C358" s="30"/>
    </row>
    <row r="359" spans="3:3" ht="16.5" customHeight="1" x14ac:dyDescent="0.25">
      <c r="C359" s="30"/>
    </row>
    <row r="360" spans="3:3" ht="16.5" customHeight="1" x14ac:dyDescent="0.25">
      <c r="C360" s="30"/>
    </row>
    <row r="361" spans="3:3" ht="16.5" customHeight="1" x14ac:dyDescent="0.25">
      <c r="C361" s="30"/>
    </row>
    <row r="362" spans="3:3" ht="16.5" customHeight="1" x14ac:dyDescent="0.25">
      <c r="C362" s="30"/>
    </row>
    <row r="363" spans="3:3" ht="16.5" customHeight="1" x14ac:dyDescent="0.25">
      <c r="C363" s="30"/>
    </row>
    <row r="364" spans="3:3" ht="16.5" customHeight="1" x14ac:dyDescent="0.25">
      <c r="C364" s="30"/>
    </row>
    <row r="365" spans="3:3" ht="16.5" customHeight="1" x14ac:dyDescent="0.25">
      <c r="C365" s="30"/>
    </row>
    <row r="366" spans="3:3" ht="16.5" customHeight="1" x14ac:dyDescent="0.25">
      <c r="C366" s="30"/>
    </row>
    <row r="367" spans="3:3" ht="16.5" customHeight="1" x14ac:dyDescent="0.25">
      <c r="C367" s="30"/>
    </row>
    <row r="368" spans="3:3" ht="16.5" customHeight="1" x14ac:dyDescent="0.25">
      <c r="C368" s="30"/>
    </row>
    <row r="369" spans="3:3" ht="16.5" customHeight="1" x14ac:dyDescent="0.25">
      <c r="C369" s="30"/>
    </row>
    <row r="370" spans="3:3" ht="16.5" customHeight="1" x14ac:dyDescent="0.25">
      <c r="C370" s="30"/>
    </row>
    <row r="371" spans="3:3" ht="16.5" customHeight="1" x14ac:dyDescent="0.25">
      <c r="C371" s="30"/>
    </row>
    <row r="372" spans="3:3" ht="16.5" customHeight="1" x14ac:dyDescent="0.25">
      <c r="C372" s="30"/>
    </row>
    <row r="373" spans="3:3" ht="16.5" customHeight="1" x14ac:dyDescent="0.25">
      <c r="C373" s="30"/>
    </row>
    <row r="374" spans="3:3" ht="16.5" customHeight="1" x14ac:dyDescent="0.25">
      <c r="C374" s="30"/>
    </row>
    <row r="375" spans="3:3" ht="16.5" customHeight="1" x14ac:dyDescent="0.25">
      <c r="C375" s="30"/>
    </row>
    <row r="376" spans="3:3" ht="16.5" customHeight="1" x14ac:dyDescent="0.25">
      <c r="C376" s="30"/>
    </row>
    <row r="377" spans="3:3" ht="16.5" customHeight="1" x14ac:dyDescent="0.25">
      <c r="C377" s="30"/>
    </row>
    <row r="378" spans="3:3" ht="16.5" customHeight="1" x14ac:dyDescent="0.25">
      <c r="C378" s="30"/>
    </row>
    <row r="379" spans="3:3" ht="16.5" customHeight="1" x14ac:dyDescent="0.25">
      <c r="C379" s="30"/>
    </row>
    <row r="380" spans="3:3" ht="16.5" customHeight="1" x14ac:dyDescent="0.25">
      <c r="C380" s="30"/>
    </row>
    <row r="381" spans="3:3" ht="16.5" customHeight="1" x14ac:dyDescent="0.25">
      <c r="C381" s="30"/>
    </row>
    <row r="382" spans="3:3" ht="16.5" customHeight="1" x14ac:dyDescent="0.25">
      <c r="C382" s="30"/>
    </row>
    <row r="383" spans="3:3" ht="16.5" customHeight="1" x14ac:dyDescent="0.25">
      <c r="C383" s="30"/>
    </row>
    <row r="384" spans="3:3" ht="16.5" customHeight="1" x14ac:dyDescent="0.25">
      <c r="C384" s="30"/>
    </row>
    <row r="385" spans="3:3" ht="16.5" customHeight="1" x14ac:dyDescent="0.25">
      <c r="C385" s="30"/>
    </row>
    <row r="386" spans="3:3" ht="16.5" customHeight="1" x14ac:dyDescent="0.25">
      <c r="C386" s="30"/>
    </row>
    <row r="387" spans="3:3" ht="16.5" customHeight="1" x14ac:dyDescent="0.25">
      <c r="C387" s="30"/>
    </row>
    <row r="388" spans="3:3" ht="16.5" customHeight="1" x14ac:dyDescent="0.25">
      <c r="C388" s="30"/>
    </row>
    <row r="389" spans="3:3" ht="16.5" customHeight="1" x14ac:dyDescent="0.25">
      <c r="C389" s="30"/>
    </row>
    <row r="390" spans="3:3" ht="16.5" customHeight="1" x14ac:dyDescent="0.25">
      <c r="C390" s="30"/>
    </row>
    <row r="391" spans="3:3" ht="16.5" customHeight="1" x14ac:dyDescent="0.25">
      <c r="C391" s="30"/>
    </row>
    <row r="392" spans="3:3" ht="16.5" customHeight="1" x14ac:dyDescent="0.25">
      <c r="C392" s="30"/>
    </row>
    <row r="393" spans="3:3" ht="16.5" customHeight="1" x14ac:dyDescent="0.25">
      <c r="C393" s="30"/>
    </row>
    <row r="394" spans="3:3" ht="16.5" customHeight="1" x14ac:dyDescent="0.25">
      <c r="C394" s="30"/>
    </row>
    <row r="395" spans="3:3" ht="16.5" customHeight="1" x14ac:dyDescent="0.25">
      <c r="C395" s="30"/>
    </row>
    <row r="396" spans="3:3" ht="16.5" customHeight="1" x14ac:dyDescent="0.25">
      <c r="C396" s="30"/>
    </row>
    <row r="397" spans="3:3" ht="16.5" customHeight="1" x14ac:dyDescent="0.25">
      <c r="C397" s="30"/>
    </row>
    <row r="398" spans="3:3" ht="16.5" customHeight="1" x14ac:dyDescent="0.25">
      <c r="C398" s="30"/>
    </row>
    <row r="399" spans="3:3" ht="16.5" customHeight="1" x14ac:dyDescent="0.25">
      <c r="C399" s="30"/>
    </row>
    <row r="400" spans="3:3" ht="16.5" customHeight="1" x14ac:dyDescent="0.25">
      <c r="C400" s="30"/>
    </row>
    <row r="401" spans="3:3" ht="16.5" customHeight="1" x14ac:dyDescent="0.25">
      <c r="C401" s="30"/>
    </row>
    <row r="402" spans="3:3" ht="16.5" customHeight="1" x14ac:dyDescent="0.25">
      <c r="C402" s="30"/>
    </row>
    <row r="403" spans="3:3" ht="16.5" customHeight="1" x14ac:dyDescent="0.25">
      <c r="C403" s="30"/>
    </row>
    <row r="404" spans="3:3" ht="16.5" customHeight="1" x14ac:dyDescent="0.25">
      <c r="C404" s="30"/>
    </row>
    <row r="405" spans="3:3" ht="16.5" customHeight="1" x14ac:dyDescent="0.25">
      <c r="C405" s="30"/>
    </row>
    <row r="406" spans="3:3" ht="16.5" customHeight="1" x14ac:dyDescent="0.25">
      <c r="C406" s="30"/>
    </row>
    <row r="407" spans="3:3" ht="16.5" customHeight="1" x14ac:dyDescent="0.25">
      <c r="C407" s="30"/>
    </row>
    <row r="408" spans="3:3" ht="16.5" customHeight="1" x14ac:dyDescent="0.25">
      <c r="C408" s="30"/>
    </row>
    <row r="409" spans="3:3" ht="16.5" customHeight="1" x14ac:dyDescent="0.25">
      <c r="C409" s="30"/>
    </row>
    <row r="410" spans="3:3" ht="16.5" customHeight="1" x14ac:dyDescent="0.25">
      <c r="C410" s="30"/>
    </row>
    <row r="411" spans="3:3" ht="16.5" customHeight="1" x14ac:dyDescent="0.25">
      <c r="C411" s="30"/>
    </row>
    <row r="412" spans="3:3" ht="16.5" customHeight="1" x14ac:dyDescent="0.25">
      <c r="C412" s="30"/>
    </row>
    <row r="413" spans="3:3" ht="16.5" customHeight="1" x14ac:dyDescent="0.25">
      <c r="C413" s="30"/>
    </row>
    <row r="414" spans="3:3" ht="16.5" customHeight="1" x14ac:dyDescent="0.25">
      <c r="C414" s="30"/>
    </row>
    <row r="415" spans="3:3" ht="16.5" customHeight="1" x14ac:dyDescent="0.25">
      <c r="C415" s="30"/>
    </row>
    <row r="416" spans="3:3" ht="16.5" customHeight="1" x14ac:dyDescent="0.25">
      <c r="C416" s="30"/>
    </row>
    <row r="417" spans="3:3" ht="16.5" customHeight="1" x14ac:dyDescent="0.25">
      <c r="C417" s="30"/>
    </row>
    <row r="418" spans="3:3" ht="16.5" customHeight="1" x14ac:dyDescent="0.25">
      <c r="C418" s="30"/>
    </row>
    <row r="419" spans="3:3" ht="16.5" customHeight="1" x14ac:dyDescent="0.25">
      <c r="C419" s="30"/>
    </row>
    <row r="420" spans="3:3" ht="16.5" customHeight="1" x14ac:dyDescent="0.25">
      <c r="C420" s="30"/>
    </row>
    <row r="421" spans="3:3" ht="16.5" customHeight="1" x14ac:dyDescent="0.25">
      <c r="C421" s="30"/>
    </row>
    <row r="422" spans="3:3" ht="16.5" customHeight="1" x14ac:dyDescent="0.25">
      <c r="C422" s="30"/>
    </row>
    <row r="423" spans="3:3" ht="16.5" customHeight="1" x14ac:dyDescent="0.25">
      <c r="C423" s="30"/>
    </row>
    <row r="424" spans="3:3" ht="16.5" customHeight="1" x14ac:dyDescent="0.25">
      <c r="C424" s="30"/>
    </row>
    <row r="425" spans="3:3" ht="16.5" customHeight="1" x14ac:dyDescent="0.25">
      <c r="C425" s="30"/>
    </row>
    <row r="426" spans="3:3" ht="16.5" customHeight="1" x14ac:dyDescent="0.25">
      <c r="C426" s="30"/>
    </row>
    <row r="427" spans="3:3" ht="16.5" customHeight="1" x14ac:dyDescent="0.25">
      <c r="C427" s="30"/>
    </row>
    <row r="428" spans="3:3" ht="16.5" customHeight="1" x14ac:dyDescent="0.25">
      <c r="C428" s="30"/>
    </row>
    <row r="429" spans="3:3" ht="16.5" customHeight="1" x14ac:dyDescent="0.25">
      <c r="C429" s="30"/>
    </row>
    <row r="430" spans="3:3" ht="16.5" customHeight="1" x14ac:dyDescent="0.25">
      <c r="C430" s="30"/>
    </row>
    <row r="431" spans="3:3" ht="16.5" customHeight="1" x14ac:dyDescent="0.25">
      <c r="C431" s="30"/>
    </row>
    <row r="432" spans="3:3" ht="16.5" customHeight="1" x14ac:dyDescent="0.25">
      <c r="C432" s="30"/>
    </row>
    <row r="433" spans="3:3" ht="16.5" customHeight="1" x14ac:dyDescent="0.25">
      <c r="C433" s="30"/>
    </row>
    <row r="434" spans="3:3" ht="16.5" customHeight="1" x14ac:dyDescent="0.25">
      <c r="C434" s="30"/>
    </row>
    <row r="435" spans="3:3" ht="16.5" customHeight="1" x14ac:dyDescent="0.25">
      <c r="C435" s="30"/>
    </row>
    <row r="436" spans="3:3" ht="16.5" customHeight="1" x14ac:dyDescent="0.25">
      <c r="C436" s="30"/>
    </row>
    <row r="437" spans="3:3" ht="16.5" customHeight="1" x14ac:dyDescent="0.25">
      <c r="C437" s="30"/>
    </row>
    <row r="438" spans="3:3" ht="16.5" customHeight="1" x14ac:dyDescent="0.25">
      <c r="C438" s="30"/>
    </row>
    <row r="439" spans="3:3" ht="16.5" customHeight="1" x14ac:dyDescent="0.25">
      <c r="C439" s="30"/>
    </row>
    <row r="440" spans="3:3" ht="16.5" customHeight="1" x14ac:dyDescent="0.25">
      <c r="C440" s="30"/>
    </row>
    <row r="441" spans="3:3" ht="16.5" customHeight="1" x14ac:dyDescent="0.25">
      <c r="C441" s="30"/>
    </row>
    <row r="442" spans="3:3" ht="16.5" customHeight="1" x14ac:dyDescent="0.25">
      <c r="C442" s="30"/>
    </row>
    <row r="443" spans="3:3" ht="16.5" customHeight="1" x14ac:dyDescent="0.25">
      <c r="C443" s="30"/>
    </row>
    <row r="444" spans="3:3" ht="16.5" customHeight="1" x14ac:dyDescent="0.25">
      <c r="C444" s="30"/>
    </row>
    <row r="445" spans="3:3" ht="16.5" customHeight="1" x14ac:dyDescent="0.25">
      <c r="C445" s="30"/>
    </row>
    <row r="446" spans="3:3" ht="16.5" customHeight="1" x14ac:dyDescent="0.25">
      <c r="C446" s="30"/>
    </row>
    <row r="447" spans="3:3" ht="16.5" customHeight="1" x14ac:dyDescent="0.25">
      <c r="C447" s="30"/>
    </row>
    <row r="448" spans="3:3" ht="16.5" customHeight="1" x14ac:dyDescent="0.25">
      <c r="C448" s="30"/>
    </row>
    <row r="449" spans="3:3" ht="16.5" customHeight="1" x14ac:dyDescent="0.25">
      <c r="C449" s="30"/>
    </row>
    <row r="450" spans="3:3" ht="16.5" customHeight="1" x14ac:dyDescent="0.25">
      <c r="C450" s="30"/>
    </row>
    <row r="451" spans="3:3" ht="16.5" customHeight="1" x14ac:dyDescent="0.25">
      <c r="C451" s="30"/>
    </row>
    <row r="452" spans="3:3" ht="16.5" customHeight="1" x14ac:dyDescent="0.25">
      <c r="C452" s="30"/>
    </row>
    <row r="453" spans="3:3" ht="16.5" customHeight="1" x14ac:dyDescent="0.25">
      <c r="C453" s="30"/>
    </row>
    <row r="454" spans="3:3" ht="16.5" customHeight="1" x14ac:dyDescent="0.25">
      <c r="C454" s="30"/>
    </row>
    <row r="455" spans="3:3" ht="16.5" customHeight="1" x14ac:dyDescent="0.25">
      <c r="C455" s="30"/>
    </row>
    <row r="456" spans="3:3" ht="16.5" customHeight="1" x14ac:dyDescent="0.25">
      <c r="C456" s="30"/>
    </row>
    <row r="457" spans="3:3" ht="16.5" customHeight="1" x14ac:dyDescent="0.25">
      <c r="C457" s="30"/>
    </row>
    <row r="458" spans="3:3" ht="16.5" customHeight="1" x14ac:dyDescent="0.25">
      <c r="C458" s="30"/>
    </row>
    <row r="459" spans="3:3" ht="16.5" customHeight="1" x14ac:dyDescent="0.25">
      <c r="C459" s="30"/>
    </row>
    <row r="460" spans="3:3" ht="16.5" customHeight="1" x14ac:dyDescent="0.25">
      <c r="C460" s="30"/>
    </row>
    <row r="461" spans="3:3" ht="16.5" customHeight="1" x14ac:dyDescent="0.25">
      <c r="C461" s="30"/>
    </row>
    <row r="462" spans="3:3" ht="16.5" customHeight="1" x14ac:dyDescent="0.25">
      <c r="C462" s="30"/>
    </row>
    <row r="463" spans="3:3" ht="16.5" customHeight="1" x14ac:dyDescent="0.25">
      <c r="C463" s="30"/>
    </row>
    <row r="464" spans="3:3" ht="16.5" customHeight="1" x14ac:dyDescent="0.25">
      <c r="C464" s="30"/>
    </row>
    <row r="465" spans="3:3" ht="16.5" customHeight="1" x14ac:dyDescent="0.25">
      <c r="C465" s="30"/>
    </row>
    <row r="466" spans="3:3" ht="16.5" customHeight="1" x14ac:dyDescent="0.25">
      <c r="C466" s="30"/>
    </row>
    <row r="467" spans="3:3" ht="16.5" customHeight="1" x14ac:dyDescent="0.25">
      <c r="C467" s="30"/>
    </row>
    <row r="468" spans="3:3" ht="16.5" customHeight="1" x14ac:dyDescent="0.25">
      <c r="C468" s="30"/>
    </row>
    <row r="469" spans="3:3" ht="16.5" customHeight="1" x14ac:dyDescent="0.25">
      <c r="C469" s="30"/>
    </row>
    <row r="470" spans="3:3" ht="16.5" customHeight="1" x14ac:dyDescent="0.25">
      <c r="C470" s="30"/>
    </row>
    <row r="471" spans="3:3" ht="16.5" customHeight="1" x14ac:dyDescent="0.25">
      <c r="C471" s="30"/>
    </row>
    <row r="472" spans="3:3" ht="16.5" customHeight="1" x14ac:dyDescent="0.25">
      <c r="C472" s="30"/>
    </row>
    <row r="473" spans="3:3" ht="16.5" customHeight="1" x14ac:dyDescent="0.25">
      <c r="C473" s="30"/>
    </row>
    <row r="474" spans="3:3" ht="16.5" customHeight="1" x14ac:dyDescent="0.25">
      <c r="C474" s="30"/>
    </row>
    <row r="475" spans="3:3" ht="16.5" customHeight="1" x14ac:dyDescent="0.25">
      <c r="C475" s="30"/>
    </row>
    <row r="476" spans="3:3" ht="16.5" customHeight="1" x14ac:dyDescent="0.25">
      <c r="C476" s="30"/>
    </row>
    <row r="477" spans="3:3" ht="16.5" customHeight="1" x14ac:dyDescent="0.25">
      <c r="C477" s="30"/>
    </row>
    <row r="478" spans="3:3" ht="16.5" customHeight="1" x14ac:dyDescent="0.25">
      <c r="C478" s="30"/>
    </row>
    <row r="479" spans="3:3" ht="16.5" customHeight="1" x14ac:dyDescent="0.25">
      <c r="C479" s="30"/>
    </row>
    <row r="480" spans="3:3" ht="16.5" customHeight="1" x14ac:dyDescent="0.25">
      <c r="C480" s="30"/>
    </row>
    <row r="481" spans="3:3" ht="16.5" customHeight="1" x14ac:dyDescent="0.25">
      <c r="C481" s="30"/>
    </row>
    <row r="482" spans="3:3" ht="16.5" customHeight="1" x14ac:dyDescent="0.25">
      <c r="C482" s="30"/>
    </row>
    <row r="483" spans="3:3" ht="16.5" customHeight="1" x14ac:dyDescent="0.25">
      <c r="C483" s="30"/>
    </row>
    <row r="484" spans="3:3" ht="16.5" customHeight="1" x14ac:dyDescent="0.25">
      <c r="C484" s="30"/>
    </row>
    <row r="485" spans="3:3" ht="16.5" customHeight="1" x14ac:dyDescent="0.25">
      <c r="C485" s="30"/>
    </row>
    <row r="486" spans="3:3" ht="16.5" customHeight="1" x14ac:dyDescent="0.25">
      <c r="C486" s="30"/>
    </row>
    <row r="487" spans="3:3" ht="16.5" customHeight="1" x14ac:dyDescent="0.25">
      <c r="C487" s="30"/>
    </row>
    <row r="488" spans="3:3" ht="16.5" customHeight="1" x14ac:dyDescent="0.25">
      <c r="C488" s="30"/>
    </row>
    <row r="489" spans="3:3" ht="16.5" customHeight="1" x14ac:dyDescent="0.25">
      <c r="C489" s="30"/>
    </row>
    <row r="490" spans="3:3" ht="16.5" customHeight="1" x14ac:dyDescent="0.25">
      <c r="C490" s="30"/>
    </row>
    <row r="491" spans="3:3" ht="16.5" customHeight="1" x14ac:dyDescent="0.25">
      <c r="C491" s="30"/>
    </row>
    <row r="492" spans="3:3" ht="16.5" customHeight="1" x14ac:dyDescent="0.25">
      <c r="C492" s="30"/>
    </row>
    <row r="493" spans="3:3" ht="16.5" customHeight="1" x14ac:dyDescent="0.25">
      <c r="C493" s="30"/>
    </row>
    <row r="494" spans="3:3" ht="16.5" customHeight="1" x14ac:dyDescent="0.25">
      <c r="C494" s="30"/>
    </row>
    <row r="495" spans="3:3" ht="16.5" customHeight="1" x14ac:dyDescent="0.25">
      <c r="C495" s="30"/>
    </row>
    <row r="496" spans="3:3" ht="16.5" customHeight="1" x14ac:dyDescent="0.25">
      <c r="C496" s="30"/>
    </row>
    <row r="497" spans="3:3" ht="16.5" customHeight="1" x14ac:dyDescent="0.25">
      <c r="C497" s="30"/>
    </row>
    <row r="498" spans="3:3" ht="16.5" customHeight="1" x14ac:dyDescent="0.25">
      <c r="C498" s="30"/>
    </row>
    <row r="499" spans="3:3" ht="16.5" customHeight="1" x14ac:dyDescent="0.25">
      <c r="C499" s="30"/>
    </row>
    <row r="500" spans="3:3" ht="16.5" customHeight="1" x14ac:dyDescent="0.25">
      <c r="C500" s="30"/>
    </row>
    <row r="501" spans="3:3" ht="16.5" customHeight="1" x14ac:dyDescent="0.25">
      <c r="C501" s="30"/>
    </row>
    <row r="502" spans="3:3" ht="16.5" customHeight="1" x14ac:dyDescent="0.25">
      <c r="C502" s="30"/>
    </row>
    <row r="503" spans="3:3" ht="16.5" customHeight="1" x14ac:dyDescent="0.25">
      <c r="C503" s="30"/>
    </row>
    <row r="504" spans="3:3" ht="16.5" customHeight="1" x14ac:dyDescent="0.25">
      <c r="C504" s="30"/>
    </row>
    <row r="505" spans="3:3" ht="16.5" customHeight="1" x14ac:dyDescent="0.25">
      <c r="C505" s="30"/>
    </row>
    <row r="506" spans="3:3" ht="16.5" customHeight="1" x14ac:dyDescent="0.25">
      <c r="C506" s="30"/>
    </row>
    <row r="507" spans="3:3" ht="16.5" customHeight="1" x14ac:dyDescent="0.25">
      <c r="C507" s="30"/>
    </row>
    <row r="508" spans="3:3" ht="16.5" customHeight="1" x14ac:dyDescent="0.25">
      <c r="C508" s="30"/>
    </row>
    <row r="509" spans="3:3" ht="16.5" customHeight="1" x14ac:dyDescent="0.25">
      <c r="C509" s="30"/>
    </row>
    <row r="510" spans="3:3" ht="16.5" customHeight="1" x14ac:dyDescent="0.25">
      <c r="C510" s="30"/>
    </row>
    <row r="511" spans="3:3" ht="16.5" customHeight="1" x14ac:dyDescent="0.25">
      <c r="C511" s="30"/>
    </row>
    <row r="512" spans="3:3" ht="16.5" customHeight="1" x14ac:dyDescent="0.25">
      <c r="C512" s="30"/>
    </row>
    <row r="513" spans="3:3" ht="16.5" customHeight="1" x14ac:dyDescent="0.25">
      <c r="C513" s="30"/>
    </row>
    <row r="514" spans="3:3" ht="16.5" customHeight="1" x14ac:dyDescent="0.25">
      <c r="C514" s="30"/>
    </row>
    <row r="515" spans="3:3" ht="16.5" customHeight="1" x14ac:dyDescent="0.25">
      <c r="C515" s="30"/>
    </row>
    <row r="516" spans="3:3" ht="16.5" customHeight="1" x14ac:dyDescent="0.25">
      <c r="C516" s="30"/>
    </row>
    <row r="517" spans="3:3" ht="16.5" customHeight="1" x14ac:dyDescent="0.25">
      <c r="C517" s="30"/>
    </row>
    <row r="518" spans="3:3" ht="16.5" customHeight="1" x14ac:dyDescent="0.25">
      <c r="C518" s="30"/>
    </row>
    <row r="519" spans="3:3" ht="16.5" customHeight="1" x14ac:dyDescent="0.25">
      <c r="C519" s="30"/>
    </row>
    <row r="520" spans="3:3" ht="16.5" customHeight="1" x14ac:dyDescent="0.25">
      <c r="C520" s="30"/>
    </row>
    <row r="521" spans="3:3" ht="16.5" customHeight="1" x14ac:dyDescent="0.25">
      <c r="C521" s="30"/>
    </row>
    <row r="522" spans="3:3" ht="16.5" customHeight="1" x14ac:dyDescent="0.25">
      <c r="C522" s="30"/>
    </row>
    <row r="523" spans="3:3" ht="16.5" customHeight="1" x14ac:dyDescent="0.25">
      <c r="C523" s="30"/>
    </row>
    <row r="524" spans="3:3" ht="16.5" customHeight="1" x14ac:dyDescent="0.25">
      <c r="C524" s="30"/>
    </row>
    <row r="525" spans="3:3" ht="16.5" customHeight="1" x14ac:dyDescent="0.25">
      <c r="C525" s="30"/>
    </row>
    <row r="526" spans="3:3" ht="16.5" customHeight="1" x14ac:dyDescent="0.25">
      <c r="C526" s="30"/>
    </row>
    <row r="527" spans="3:3" ht="16.5" customHeight="1" x14ac:dyDescent="0.25">
      <c r="C527" s="30"/>
    </row>
    <row r="528" spans="3:3" ht="16.5" customHeight="1" x14ac:dyDescent="0.25">
      <c r="C528" s="30"/>
    </row>
    <row r="529" spans="3:3" ht="16.5" customHeight="1" x14ac:dyDescent="0.25">
      <c r="C529" s="30"/>
    </row>
    <row r="530" spans="3:3" ht="16.5" customHeight="1" x14ac:dyDescent="0.25">
      <c r="C530" s="30"/>
    </row>
    <row r="531" spans="3:3" ht="16.5" customHeight="1" x14ac:dyDescent="0.25">
      <c r="C531" s="30"/>
    </row>
    <row r="532" spans="3:3" ht="16.5" customHeight="1" x14ac:dyDescent="0.25">
      <c r="C532" s="30"/>
    </row>
    <row r="533" spans="3:3" ht="16.5" customHeight="1" x14ac:dyDescent="0.25">
      <c r="C533" s="30"/>
    </row>
    <row r="534" spans="3:3" ht="16.5" customHeight="1" x14ac:dyDescent="0.25">
      <c r="C534" s="30"/>
    </row>
    <row r="535" spans="3:3" ht="16.5" customHeight="1" x14ac:dyDescent="0.25">
      <c r="C535" s="30"/>
    </row>
    <row r="536" spans="3:3" ht="16.5" customHeight="1" x14ac:dyDescent="0.25">
      <c r="C536" s="30"/>
    </row>
    <row r="537" spans="3:3" ht="16.5" customHeight="1" x14ac:dyDescent="0.25">
      <c r="C537" s="30"/>
    </row>
    <row r="538" spans="3:3" ht="16.5" customHeight="1" x14ac:dyDescent="0.25">
      <c r="C538" s="30"/>
    </row>
    <row r="539" spans="3:3" ht="16.5" customHeight="1" x14ac:dyDescent="0.25">
      <c r="C539" s="30"/>
    </row>
    <row r="540" spans="3:3" ht="16.5" customHeight="1" x14ac:dyDescent="0.25">
      <c r="C540" s="30"/>
    </row>
    <row r="541" spans="3:3" ht="16.5" customHeight="1" x14ac:dyDescent="0.25">
      <c r="C541" s="30"/>
    </row>
    <row r="542" spans="3:3" ht="16.5" customHeight="1" x14ac:dyDescent="0.25">
      <c r="C542" s="30"/>
    </row>
    <row r="543" spans="3:3" ht="16.5" customHeight="1" x14ac:dyDescent="0.25">
      <c r="C543" s="30"/>
    </row>
    <row r="544" spans="3:3" ht="16.5" customHeight="1" x14ac:dyDescent="0.25">
      <c r="C544" s="30"/>
    </row>
    <row r="545" spans="3:3" ht="16.5" customHeight="1" x14ac:dyDescent="0.25">
      <c r="C545" s="30"/>
    </row>
    <row r="546" spans="3:3" ht="16.5" customHeight="1" x14ac:dyDescent="0.25">
      <c r="C546" s="30"/>
    </row>
    <row r="547" spans="3:3" ht="16.5" customHeight="1" x14ac:dyDescent="0.25">
      <c r="C547" s="30"/>
    </row>
    <row r="548" spans="3:3" ht="16.5" customHeight="1" x14ac:dyDescent="0.25">
      <c r="C548" s="30"/>
    </row>
    <row r="549" spans="3:3" ht="16.5" customHeight="1" x14ac:dyDescent="0.25">
      <c r="C549" s="30"/>
    </row>
    <row r="550" spans="3:3" ht="16.5" customHeight="1" x14ac:dyDescent="0.25">
      <c r="C550" s="30"/>
    </row>
    <row r="551" spans="3:3" ht="16.5" customHeight="1" x14ac:dyDescent="0.25">
      <c r="C551" s="30"/>
    </row>
    <row r="552" spans="3:3" ht="16.5" customHeight="1" x14ac:dyDescent="0.25">
      <c r="C552" s="30"/>
    </row>
    <row r="553" spans="3:3" ht="16.5" customHeight="1" x14ac:dyDescent="0.25">
      <c r="C553" s="30"/>
    </row>
    <row r="554" spans="3:3" ht="16.5" customHeight="1" x14ac:dyDescent="0.25">
      <c r="C554" s="30"/>
    </row>
    <row r="555" spans="3:3" ht="16.5" customHeight="1" x14ac:dyDescent="0.25">
      <c r="C555" s="30"/>
    </row>
    <row r="556" spans="3:3" ht="16.5" customHeight="1" x14ac:dyDescent="0.25">
      <c r="C556" s="30"/>
    </row>
    <row r="557" spans="3:3" ht="16.5" customHeight="1" x14ac:dyDescent="0.25">
      <c r="C557" s="30"/>
    </row>
    <row r="558" spans="3:3" ht="16.5" customHeight="1" x14ac:dyDescent="0.25">
      <c r="C558" s="30"/>
    </row>
    <row r="559" spans="3:3" ht="16.5" customHeight="1" x14ac:dyDescent="0.25">
      <c r="C559" s="30"/>
    </row>
    <row r="560" spans="3:3" ht="16.5" customHeight="1" x14ac:dyDescent="0.25">
      <c r="C560" s="30"/>
    </row>
    <row r="561" spans="3:3" ht="16.5" customHeight="1" x14ac:dyDescent="0.25">
      <c r="C561" s="30"/>
    </row>
    <row r="562" spans="3:3" ht="16.5" customHeight="1" x14ac:dyDescent="0.25">
      <c r="C562" s="30"/>
    </row>
    <row r="563" spans="3:3" ht="16.5" customHeight="1" x14ac:dyDescent="0.25">
      <c r="C563" s="30"/>
    </row>
    <row r="564" spans="3:3" ht="16.5" customHeight="1" x14ac:dyDescent="0.25">
      <c r="C564" s="30"/>
    </row>
    <row r="565" spans="3:3" ht="16.5" customHeight="1" x14ac:dyDescent="0.25">
      <c r="C565" s="30"/>
    </row>
    <row r="566" spans="3:3" ht="16.5" customHeight="1" x14ac:dyDescent="0.25">
      <c r="C566" s="30"/>
    </row>
    <row r="567" spans="3:3" ht="16.5" customHeight="1" x14ac:dyDescent="0.25">
      <c r="C567" s="30"/>
    </row>
    <row r="568" spans="3:3" ht="16.5" customHeight="1" x14ac:dyDescent="0.25">
      <c r="C568" s="30"/>
    </row>
    <row r="569" spans="3:3" ht="16.5" customHeight="1" x14ac:dyDescent="0.25">
      <c r="C569" s="30"/>
    </row>
    <row r="570" spans="3:3" ht="16.5" customHeight="1" x14ac:dyDescent="0.25">
      <c r="C570" s="30"/>
    </row>
    <row r="571" spans="3:3" ht="16.5" customHeight="1" x14ac:dyDescent="0.25">
      <c r="C571" s="30"/>
    </row>
    <row r="572" spans="3:3" ht="16.5" customHeight="1" x14ac:dyDescent="0.25">
      <c r="C572" s="30"/>
    </row>
    <row r="573" spans="3:3" ht="16.5" customHeight="1" x14ac:dyDescent="0.25">
      <c r="C573" s="30"/>
    </row>
    <row r="574" spans="3:3" ht="16.5" customHeight="1" x14ac:dyDescent="0.25">
      <c r="C574" s="30"/>
    </row>
    <row r="575" spans="3:3" ht="16.5" customHeight="1" x14ac:dyDescent="0.25">
      <c r="C575" s="30"/>
    </row>
    <row r="576" spans="3:3" ht="16.5" customHeight="1" x14ac:dyDescent="0.25">
      <c r="C576" s="30"/>
    </row>
    <row r="577" spans="3:3" ht="16.5" customHeight="1" x14ac:dyDescent="0.25">
      <c r="C577" s="30"/>
    </row>
    <row r="578" spans="3:3" ht="16.5" customHeight="1" x14ac:dyDescent="0.25">
      <c r="C578" s="30"/>
    </row>
    <row r="579" spans="3:3" ht="16.5" customHeight="1" x14ac:dyDescent="0.25">
      <c r="C579" s="30"/>
    </row>
    <row r="580" spans="3:3" ht="16.5" customHeight="1" x14ac:dyDescent="0.25">
      <c r="C580" s="30"/>
    </row>
    <row r="581" spans="3:3" ht="16.5" customHeight="1" x14ac:dyDescent="0.25">
      <c r="C581" s="30"/>
    </row>
    <row r="582" spans="3:3" ht="16.5" customHeight="1" x14ac:dyDescent="0.25">
      <c r="C582" s="30"/>
    </row>
    <row r="583" spans="3:3" ht="16.5" customHeight="1" x14ac:dyDescent="0.25">
      <c r="C583" s="30"/>
    </row>
    <row r="584" spans="3:3" ht="16.5" customHeight="1" x14ac:dyDescent="0.25">
      <c r="C584" s="30"/>
    </row>
    <row r="585" spans="3:3" ht="16.5" customHeight="1" x14ac:dyDescent="0.25">
      <c r="C585" s="30"/>
    </row>
    <row r="586" spans="3:3" ht="16.5" customHeight="1" x14ac:dyDescent="0.25">
      <c r="C586" s="30"/>
    </row>
    <row r="587" spans="3:3" ht="16.5" customHeight="1" x14ac:dyDescent="0.25">
      <c r="C587" s="30"/>
    </row>
    <row r="588" spans="3:3" ht="16.5" customHeight="1" x14ac:dyDescent="0.25">
      <c r="C588" s="30"/>
    </row>
    <row r="589" spans="3:3" ht="16.5" customHeight="1" x14ac:dyDescent="0.25">
      <c r="C589" s="30"/>
    </row>
    <row r="590" spans="3:3" ht="16.5" customHeight="1" x14ac:dyDescent="0.25">
      <c r="C590" s="30"/>
    </row>
    <row r="591" spans="3:3" ht="16.5" customHeight="1" x14ac:dyDescent="0.25">
      <c r="C591" s="30"/>
    </row>
    <row r="592" spans="3:3" ht="16.5" customHeight="1" x14ac:dyDescent="0.25">
      <c r="C592" s="30"/>
    </row>
    <row r="593" spans="3:3" ht="16.5" customHeight="1" x14ac:dyDescent="0.25">
      <c r="C593" s="30"/>
    </row>
    <row r="594" spans="3:3" ht="16.5" customHeight="1" x14ac:dyDescent="0.25">
      <c r="C594" s="30"/>
    </row>
    <row r="595" spans="3:3" ht="16.5" customHeight="1" x14ac:dyDescent="0.25">
      <c r="C595" s="30"/>
    </row>
    <row r="596" spans="3:3" ht="16.5" customHeight="1" x14ac:dyDescent="0.25">
      <c r="C596" s="30"/>
    </row>
    <row r="597" spans="3:3" ht="16.5" customHeight="1" x14ac:dyDescent="0.25">
      <c r="C597" s="30"/>
    </row>
    <row r="598" spans="3:3" ht="16.5" customHeight="1" x14ac:dyDescent="0.25">
      <c r="C598" s="30"/>
    </row>
    <row r="599" spans="3:3" ht="16.5" customHeight="1" x14ac:dyDescent="0.25">
      <c r="C599" s="30"/>
    </row>
    <row r="600" spans="3:3" ht="16.5" customHeight="1" x14ac:dyDescent="0.25">
      <c r="C600" s="30"/>
    </row>
    <row r="601" spans="3:3" ht="16.5" customHeight="1" x14ac:dyDescent="0.25">
      <c r="C601" s="30"/>
    </row>
    <row r="602" spans="3:3" ht="16.5" customHeight="1" x14ac:dyDescent="0.25">
      <c r="C602" s="30"/>
    </row>
    <row r="603" spans="3:3" ht="16.5" customHeight="1" x14ac:dyDescent="0.25">
      <c r="C603" s="30"/>
    </row>
    <row r="604" spans="3:3" ht="16.5" customHeight="1" x14ac:dyDescent="0.25">
      <c r="C604" s="30"/>
    </row>
    <row r="605" spans="3:3" ht="16.5" customHeight="1" x14ac:dyDescent="0.25">
      <c r="C605" s="30"/>
    </row>
    <row r="606" spans="3:3" ht="16.5" customHeight="1" x14ac:dyDescent="0.25">
      <c r="C606" s="30"/>
    </row>
    <row r="607" spans="3:3" ht="16.5" customHeight="1" x14ac:dyDescent="0.25">
      <c r="C607" s="30"/>
    </row>
    <row r="608" spans="3:3" ht="16.5" customHeight="1" x14ac:dyDescent="0.25">
      <c r="C608" s="30"/>
    </row>
    <row r="609" spans="3:3" ht="16.5" customHeight="1" x14ac:dyDescent="0.25">
      <c r="C609" s="30"/>
    </row>
    <row r="610" spans="3:3" ht="16.5" customHeight="1" x14ac:dyDescent="0.25">
      <c r="C610" s="30"/>
    </row>
    <row r="611" spans="3:3" ht="16.5" customHeight="1" x14ac:dyDescent="0.25">
      <c r="C611" s="30"/>
    </row>
    <row r="612" spans="3:3" ht="16.5" customHeight="1" x14ac:dyDescent="0.25">
      <c r="C612" s="30"/>
    </row>
    <row r="613" spans="3:3" ht="16.5" customHeight="1" x14ac:dyDescent="0.25">
      <c r="C613" s="30"/>
    </row>
    <row r="614" spans="3:3" ht="16.5" customHeight="1" x14ac:dyDescent="0.25">
      <c r="C614" s="30"/>
    </row>
    <row r="615" spans="3:3" ht="16.5" customHeight="1" x14ac:dyDescent="0.25">
      <c r="C615" s="30"/>
    </row>
    <row r="616" spans="3:3" ht="16.5" customHeight="1" x14ac:dyDescent="0.25">
      <c r="C616" s="30"/>
    </row>
    <row r="617" spans="3:3" ht="16.5" customHeight="1" x14ac:dyDescent="0.25">
      <c r="C617" s="30"/>
    </row>
    <row r="618" spans="3:3" ht="16.5" customHeight="1" x14ac:dyDescent="0.25">
      <c r="C618" s="30"/>
    </row>
    <row r="619" spans="3:3" ht="16.5" customHeight="1" x14ac:dyDescent="0.25">
      <c r="C619" s="30"/>
    </row>
    <row r="620" spans="3:3" ht="16.5" customHeight="1" x14ac:dyDescent="0.25">
      <c r="C620" s="30"/>
    </row>
    <row r="621" spans="3:3" ht="16.5" customHeight="1" x14ac:dyDescent="0.25">
      <c r="C621" s="30"/>
    </row>
    <row r="622" spans="3:3" ht="16.5" customHeight="1" x14ac:dyDescent="0.25">
      <c r="C622" s="30"/>
    </row>
    <row r="623" spans="3:3" ht="16.5" customHeight="1" x14ac:dyDescent="0.25">
      <c r="C623" s="30"/>
    </row>
    <row r="624" spans="3:3" ht="16.5" customHeight="1" x14ac:dyDescent="0.25">
      <c r="C624" s="30"/>
    </row>
    <row r="625" spans="3:3" ht="16.5" customHeight="1" x14ac:dyDescent="0.25">
      <c r="C625" s="30"/>
    </row>
    <row r="626" spans="3:3" ht="16.5" customHeight="1" x14ac:dyDescent="0.25">
      <c r="C626" s="30"/>
    </row>
    <row r="627" spans="3:3" ht="16.5" customHeight="1" x14ac:dyDescent="0.25">
      <c r="C627" s="30"/>
    </row>
    <row r="628" spans="3:3" ht="16.5" customHeight="1" x14ac:dyDescent="0.25">
      <c r="C628" s="30"/>
    </row>
    <row r="629" spans="3:3" ht="16.5" customHeight="1" x14ac:dyDescent="0.25">
      <c r="C629" s="30"/>
    </row>
    <row r="630" spans="3:3" ht="16.5" customHeight="1" x14ac:dyDescent="0.25">
      <c r="C630" s="30"/>
    </row>
    <row r="631" spans="3:3" ht="16.5" customHeight="1" x14ac:dyDescent="0.25">
      <c r="C631" s="30"/>
    </row>
    <row r="632" spans="3:3" ht="16.5" customHeight="1" x14ac:dyDescent="0.25">
      <c r="C632" s="30"/>
    </row>
    <row r="633" spans="3:3" ht="16.5" customHeight="1" x14ac:dyDescent="0.25">
      <c r="C633" s="30"/>
    </row>
    <row r="634" spans="3:3" ht="16.5" customHeight="1" x14ac:dyDescent="0.25">
      <c r="C634" s="30"/>
    </row>
    <row r="635" spans="3:3" ht="16.5" customHeight="1" x14ac:dyDescent="0.25">
      <c r="C635" s="30"/>
    </row>
    <row r="636" spans="3:3" ht="16.5" customHeight="1" x14ac:dyDescent="0.25">
      <c r="C636" s="30"/>
    </row>
    <row r="637" spans="3:3" ht="16.5" customHeight="1" x14ac:dyDescent="0.25">
      <c r="C637" s="30"/>
    </row>
    <row r="638" spans="3:3" ht="16.5" customHeight="1" x14ac:dyDescent="0.25">
      <c r="C638" s="30"/>
    </row>
    <row r="639" spans="3:3" ht="16.5" customHeight="1" x14ac:dyDescent="0.25">
      <c r="C639" s="30"/>
    </row>
    <row r="640" spans="3:3" ht="16.5" customHeight="1" x14ac:dyDescent="0.25">
      <c r="C640" s="30"/>
    </row>
    <row r="641" spans="3:3" ht="16.5" customHeight="1" x14ac:dyDescent="0.25">
      <c r="C641" s="30"/>
    </row>
    <row r="642" spans="3:3" ht="16.5" customHeight="1" x14ac:dyDescent="0.25">
      <c r="C642" s="30"/>
    </row>
    <row r="643" spans="3:3" ht="16.5" customHeight="1" x14ac:dyDescent="0.25">
      <c r="C643" s="30"/>
    </row>
    <row r="644" spans="3:3" ht="16.5" customHeight="1" x14ac:dyDescent="0.25">
      <c r="C644" s="30"/>
    </row>
    <row r="645" spans="3:3" ht="16.5" customHeight="1" x14ac:dyDescent="0.25">
      <c r="C645" s="30"/>
    </row>
    <row r="646" spans="3:3" ht="16.5" customHeight="1" x14ac:dyDescent="0.25">
      <c r="C646" s="30"/>
    </row>
    <row r="647" spans="3:3" ht="16.5" customHeight="1" x14ac:dyDescent="0.25">
      <c r="C647" s="30"/>
    </row>
    <row r="648" spans="3:3" ht="16.5" customHeight="1" x14ac:dyDescent="0.25">
      <c r="C648" s="30"/>
    </row>
    <row r="649" spans="3:3" ht="16.5" customHeight="1" x14ac:dyDescent="0.25">
      <c r="C649" s="30"/>
    </row>
    <row r="650" spans="3:3" ht="16.5" customHeight="1" x14ac:dyDescent="0.25">
      <c r="C650" s="30"/>
    </row>
    <row r="651" spans="3:3" ht="16.5" customHeight="1" x14ac:dyDescent="0.25">
      <c r="C651" s="30"/>
    </row>
    <row r="652" spans="3:3" ht="16.5" customHeight="1" x14ac:dyDescent="0.25">
      <c r="C652" s="30"/>
    </row>
    <row r="653" spans="3:3" ht="16.5" customHeight="1" x14ac:dyDescent="0.25">
      <c r="C653" s="30"/>
    </row>
    <row r="654" spans="3:3" ht="16.5" customHeight="1" x14ac:dyDescent="0.25">
      <c r="C654" s="30"/>
    </row>
    <row r="655" spans="3:3" ht="16.5" customHeight="1" x14ac:dyDescent="0.25">
      <c r="C655" s="30"/>
    </row>
    <row r="656" spans="3:3" ht="16.5" customHeight="1" x14ac:dyDescent="0.25">
      <c r="C656" s="30"/>
    </row>
    <row r="657" spans="3:3" ht="16.5" customHeight="1" x14ac:dyDescent="0.25">
      <c r="C657" s="30"/>
    </row>
    <row r="658" spans="3:3" ht="16.5" customHeight="1" x14ac:dyDescent="0.25">
      <c r="C658" s="30"/>
    </row>
    <row r="659" spans="3:3" ht="16.5" customHeight="1" x14ac:dyDescent="0.25">
      <c r="C659" s="30"/>
    </row>
    <row r="660" spans="3:3" ht="16.5" customHeight="1" x14ac:dyDescent="0.25">
      <c r="C660" s="30"/>
    </row>
    <row r="661" spans="3:3" ht="16.5" customHeight="1" x14ac:dyDescent="0.25">
      <c r="C661" s="30"/>
    </row>
    <row r="662" spans="3:3" ht="16.5" customHeight="1" x14ac:dyDescent="0.25">
      <c r="C662" s="30"/>
    </row>
    <row r="663" spans="3:3" ht="16.5" customHeight="1" x14ac:dyDescent="0.25">
      <c r="C663" s="30"/>
    </row>
    <row r="664" spans="3:3" ht="16.5" customHeight="1" x14ac:dyDescent="0.25">
      <c r="C664" s="30"/>
    </row>
    <row r="665" spans="3:3" ht="16.5" customHeight="1" x14ac:dyDescent="0.25">
      <c r="C665" s="30"/>
    </row>
    <row r="666" spans="3:3" ht="16.5" customHeight="1" x14ac:dyDescent="0.25">
      <c r="C666" s="30"/>
    </row>
    <row r="667" spans="3:3" ht="16.5" customHeight="1" x14ac:dyDescent="0.25">
      <c r="C667" s="30"/>
    </row>
    <row r="668" spans="3:3" ht="16.5" customHeight="1" x14ac:dyDescent="0.25">
      <c r="C668" s="30"/>
    </row>
    <row r="669" spans="3:3" ht="16.5" customHeight="1" x14ac:dyDescent="0.25">
      <c r="C669" s="30"/>
    </row>
    <row r="670" spans="3:3" ht="16.5" customHeight="1" x14ac:dyDescent="0.25">
      <c r="C670" s="30"/>
    </row>
    <row r="671" spans="3:3" ht="16.5" customHeight="1" x14ac:dyDescent="0.25">
      <c r="C671" s="30"/>
    </row>
    <row r="672" spans="3:3" ht="16.5" customHeight="1" x14ac:dyDescent="0.25">
      <c r="C672" s="30"/>
    </row>
    <row r="673" spans="3:3" ht="16.5" customHeight="1" x14ac:dyDescent="0.25">
      <c r="C673" s="30"/>
    </row>
    <row r="674" spans="3:3" ht="16.5" customHeight="1" x14ac:dyDescent="0.25">
      <c r="C674" s="30"/>
    </row>
    <row r="675" spans="3:3" ht="16.5" customHeight="1" x14ac:dyDescent="0.25">
      <c r="C675" s="30"/>
    </row>
    <row r="676" spans="3:3" ht="16.5" customHeight="1" x14ac:dyDescent="0.25">
      <c r="C676" s="30"/>
    </row>
    <row r="677" spans="3:3" ht="16.5" customHeight="1" x14ac:dyDescent="0.25">
      <c r="C677" s="30"/>
    </row>
    <row r="678" spans="3:3" ht="16.5" customHeight="1" x14ac:dyDescent="0.25">
      <c r="C678" s="30"/>
    </row>
    <row r="679" spans="3:3" ht="16.5" customHeight="1" x14ac:dyDescent="0.25">
      <c r="C679" s="30"/>
    </row>
    <row r="680" spans="3:3" ht="16.5" customHeight="1" x14ac:dyDescent="0.25">
      <c r="C680" s="30"/>
    </row>
    <row r="681" spans="3:3" ht="16.5" customHeight="1" x14ac:dyDescent="0.25">
      <c r="C681" s="30"/>
    </row>
    <row r="682" spans="3:3" ht="16.5" customHeight="1" x14ac:dyDescent="0.25">
      <c r="C682" s="30"/>
    </row>
    <row r="683" spans="3:3" ht="16.5" customHeight="1" x14ac:dyDescent="0.25">
      <c r="C683" s="30"/>
    </row>
    <row r="684" spans="3:3" ht="16.5" customHeight="1" x14ac:dyDescent="0.25">
      <c r="C684" s="30"/>
    </row>
    <row r="685" spans="3:3" ht="16.5" customHeight="1" x14ac:dyDescent="0.25">
      <c r="C685" s="30"/>
    </row>
    <row r="686" spans="3:3" ht="16.5" customHeight="1" x14ac:dyDescent="0.25">
      <c r="C686" s="30"/>
    </row>
    <row r="687" spans="3:3" ht="16.5" customHeight="1" x14ac:dyDescent="0.25">
      <c r="C687" s="30"/>
    </row>
    <row r="688" spans="3:3" ht="16.5" customHeight="1" x14ac:dyDescent="0.25">
      <c r="C688" s="30"/>
    </row>
    <row r="689" spans="3:3" ht="16.5" customHeight="1" x14ac:dyDescent="0.25">
      <c r="C689" s="30"/>
    </row>
    <row r="690" spans="3:3" ht="16.5" customHeight="1" x14ac:dyDescent="0.25">
      <c r="C690" s="30"/>
    </row>
    <row r="691" spans="3:3" ht="16.5" customHeight="1" x14ac:dyDescent="0.25">
      <c r="C691" s="30"/>
    </row>
    <row r="692" spans="3:3" ht="16.5" customHeight="1" x14ac:dyDescent="0.25">
      <c r="C692" s="30"/>
    </row>
    <row r="693" spans="3:3" ht="16.5" customHeight="1" x14ac:dyDescent="0.25">
      <c r="C693" s="30"/>
    </row>
    <row r="694" spans="3:3" ht="16.5" customHeight="1" x14ac:dyDescent="0.25">
      <c r="C694" s="30"/>
    </row>
    <row r="695" spans="3:3" ht="16.5" customHeight="1" x14ac:dyDescent="0.25">
      <c r="C695" s="30"/>
    </row>
    <row r="696" spans="3:3" ht="16.5" customHeight="1" x14ac:dyDescent="0.25">
      <c r="C696" s="30"/>
    </row>
    <row r="697" spans="3:3" ht="16.5" customHeight="1" x14ac:dyDescent="0.25">
      <c r="C697" s="30"/>
    </row>
    <row r="698" spans="3:3" ht="16.5" customHeight="1" x14ac:dyDescent="0.25">
      <c r="C698" s="30"/>
    </row>
    <row r="699" spans="3:3" ht="16.5" customHeight="1" x14ac:dyDescent="0.25">
      <c r="C699" s="30"/>
    </row>
    <row r="700" spans="3:3" ht="16.5" customHeight="1" x14ac:dyDescent="0.25">
      <c r="C700" s="30"/>
    </row>
    <row r="701" spans="3:3" ht="16.5" customHeight="1" x14ac:dyDescent="0.25">
      <c r="C701" s="30"/>
    </row>
    <row r="702" spans="3:3" ht="16.5" customHeight="1" x14ac:dyDescent="0.25">
      <c r="C702" s="30"/>
    </row>
    <row r="703" spans="3:3" ht="16.5" customHeight="1" x14ac:dyDescent="0.25">
      <c r="C703" s="30"/>
    </row>
    <row r="704" spans="3:3" ht="16.5" customHeight="1" x14ac:dyDescent="0.25">
      <c r="C704" s="30"/>
    </row>
    <row r="705" spans="3:3" ht="16.5" customHeight="1" x14ac:dyDescent="0.25">
      <c r="C705" s="30"/>
    </row>
    <row r="706" spans="3:3" ht="16.5" customHeight="1" x14ac:dyDescent="0.25">
      <c r="C706" s="30"/>
    </row>
    <row r="707" spans="3:3" ht="16.5" customHeight="1" x14ac:dyDescent="0.25">
      <c r="C707" s="30"/>
    </row>
    <row r="708" spans="3:3" ht="16.5" customHeight="1" x14ac:dyDescent="0.25">
      <c r="C708" s="30"/>
    </row>
    <row r="709" spans="3:3" ht="16.5" customHeight="1" x14ac:dyDescent="0.25">
      <c r="C709" s="30"/>
    </row>
    <row r="710" spans="3:3" ht="16.5" customHeight="1" x14ac:dyDescent="0.25">
      <c r="C710" s="30"/>
    </row>
    <row r="711" spans="3:3" ht="16.5" customHeight="1" x14ac:dyDescent="0.25">
      <c r="C711" s="30"/>
    </row>
    <row r="712" spans="3:3" ht="16.5" customHeight="1" x14ac:dyDescent="0.25">
      <c r="C712" s="30"/>
    </row>
    <row r="713" spans="3:3" ht="16.5" customHeight="1" x14ac:dyDescent="0.25">
      <c r="C713" s="30"/>
    </row>
    <row r="714" spans="3:3" ht="16.5" customHeight="1" x14ac:dyDescent="0.25">
      <c r="C714" s="30"/>
    </row>
    <row r="715" spans="3:3" ht="16.5" customHeight="1" x14ac:dyDescent="0.25">
      <c r="C715" s="30"/>
    </row>
    <row r="716" spans="3:3" ht="16.5" customHeight="1" x14ac:dyDescent="0.25">
      <c r="C716" s="30"/>
    </row>
    <row r="717" spans="3:3" ht="16.5" customHeight="1" x14ac:dyDescent="0.25">
      <c r="C717" s="30"/>
    </row>
    <row r="718" spans="3:3" ht="16.5" customHeight="1" x14ac:dyDescent="0.25">
      <c r="C718" s="30"/>
    </row>
    <row r="719" spans="3:3" ht="16.5" customHeight="1" x14ac:dyDescent="0.25">
      <c r="C719" s="30"/>
    </row>
    <row r="720" spans="3:3" ht="16.5" customHeight="1" x14ac:dyDescent="0.25">
      <c r="C720" s="30"/>
    </row>
    <row r="721" spans="3:3" ht="16.5" customHeight="1" x14ac:dyDescent="0.25">
      <c r="C721" s="30"/>
    </row>
    <row r="722" spans="3:3" ht="16.5" customHeight="1" x14ac:dyDescent="0.25">
      <c r="C722" s="30"/>
    </row>
    <row r="723" spans="3:3" ht="16.5" customHeight="1" x14ac:dyDescent="0.25">
      <c r="C723" s="30"/>
    </row>
    <row r="724" spans="3:3" ht="16.5" customHeight="1" x14ac:dyDescent="0.25">
      <c r="C724" s="30"/>
    </row>
    <row r="725" spans="3:3" ht="16.5" customHeight="1" x14ac:dyDescent="0.25">
      <c r="C725" s="30"/>
    </row>
    <row r="726" spans="3:3" ht="16.5" customHeight="1" x14ac:dyDescent="0.25">
      <c r="C726" s="30"/>
    </row>
    <row r="727" spans="3:3" ht="16.5" customHeight="1" x14ac:dyDescent="0.25">
      <c r="C727" s="30"/>
    </row>
    <row r="728" spans="3:3" ht="16.5" customHeight="1" x14ac:dyDescent="0.25">
      <c r="C728" s="30"/>
    </row>
    <row r="729" spans="3:3" ht="16.5" customHeight="1" x14ac:dyDescent="0.25">
      <c r="C729" s="30"/>
    </row>
    <row r="730" spans="3:3" ht="16.5" customHeight="1" x14ac:dyDescent="0.25">
      <c r="C730" s="30"/>
    </row>
    <row r="731" spans="3:3" ht="16.5" customHeight="1" x14ac:dyDescent="0.25">
      <c r="C731" s="30"/>
    </row>
    <row r="732" spans="3:3" ht="16.5" customHeight="1" x14ac:dyDescent="0.25">
      <c r="C732" s="30"/>
    </row>
    <row r="733" spans="3:3" ht="16.5" customHeight="1" x14ac:dyDescent="0.25">
      <c r="C733" s="30"/>
    </row>
    <row r="734" spans="3:3" ht="16.5" customHeight="1" x14ac:dyDescent="0.25">
      <c r="C734" s="30"/>
    </row>
    <row r="735" spans="3:3" ht="16.5" customHeight="1" x14ac:dyDescent="0.25">
      <c r="C735" s="30"/>
    </row>
    <row r="736" spans="3:3" ht="16.5" customHeight="1" x14ac:dyDescent="0.25">
      <c r="C736" s="30"/>
    </row>
    <row r="737" spans="3:3" ht="16.5" customHeight="1" x14ac:dyDescent="0.25">
      <c r="C737" s="30"/>
    </row>
    <row r="738" spans="3:3" ht="16.5" customHeight="1" x14ac:dyDescent="0.25">
      <c r="C738" s="30"/>
    </row>
    <row r="739" spans="3:3" ht="16.5" customHeight="1" x14ac:dyDescent="0.25">
      <c r="C739" s="30"/>
    </row>
    <row r="740" spans="3:3" ht="16.5" customHeight="1" x14ac:dyDescent="0.25">
      <c r="C740" s="30"/>
    </row>
    <row r="741" spans="3:3" ht="16.5" customHeight="1" x14ac:dyDescent="0.25">
      <c r="C741" s="30"/>
    </row>
    <row r="742" spans="3:3" ht="16.5" customHeight="1" x14ac:dyDescent="0.25">
      <c r="C742" s="30"/>
    </row>
    <row r="743" spans="3:3" ht="16.5" customHeight="1" x14ac:dyDescent="0.25">
      <c r="C743" s="30"/>
    </row>
    <row r="744" spans="3:3" ht="16.5" customHeight="1" x14ac:dyDescent="0.25">
      <c r="C744" s="30"/>
    </row>
    <row r="745" spans="3:3" ht="16.5" customHeight="1" x14ac:dyDescent="0.25">
      <c r="C745" s="30"/>
    </row>
    <row r="746" spans="3:3" ht="16.5" customHeight="1" x14ac:dyDescent="0.25">
      <c r="C746" s="30"/>
    </row>
    <row r="747" spans="3:3" ht="16.5" customHeight="1" x14ac:dyDescent="0.25">
      <c r="C747" s="30"/>
    </row>
    <row r="748" spans="3:3" ht="16.5" customHeight="1" x14ac:dyDescent="0.25">
      <c r="C748" s="30"/>
    </row>
    <row r="749" spans="3:3" ht="16.5" customHeight="1" x14ac:dyDescent="0.25">
      <c r="C749" s="30"/>
    </row>
    <row r="750" spans="3:3" ht="16.5" customHeight="1" x14ac:dyDescent="0.25">
      <c r="C750" s="30"/>
    </row>
    <row r="751" spans="3:3" ht="16.5" customHeight="1" x14ac:dyDescent="0.25">
      <c r="C751" s="30"/>
    </row>
    <row r="752" spans="3:3" ht="16.5" customHeight="1" x14ac:dyDescent="0.25">
      <c r="C752" s="30"/>
    </row>
    <row r="753" spans="3:3" ht="16.5" customHeight="1" x14ac:dyDescent="0.25">
      <c r="C753" s="30"/>
    </row>
    <row r="754" spans="3:3" ht="16.5" customHeight="1" x14ac:dyDescent="0.25">
      <c r="C754" s="30"/>
    </row>
    <row r="755" spans="3:3" ht="16.5" customHeight="1" x14ac:dyDescent="0.25">
      <c r="C755" s="30"/>
    </row>
    <row r="756" spans="3:3" ht="16.5" customHeight="1" x14ac:dyDescent="0.25">
      <c r="C756" s="30"/>
    </row>
    <row r="757" spans="3:3" ht="16.5" customHeight="1" x14ac:dyDescent="0.25">
      <c r="C757" s="30"/>
    </row>
    <row r="758" spans="3:3" ht="16.5" customHeight="1" x14ac:dyDescent="0.25">
      <c r="C758" s="30"/>
    </row>
    <row r="759" spans="3:3" ht="16.5" customHeight="1" x14ac:dyDescent="0.25">
      <c r="C759" s="30"/>
    </row>
    <row r="760" spans="3:3" ht="16.5" customHeight="1" x14ac:dyDescent="0.25">
      <c r="C760" s="30"/>
    </row>
    <row r="761" spans="3:3" ht="16.5" customHeight="1" x14ac:dyDescent="0.25">
      <c r="C761" s="30"/>
    </row>
    <row r="762" spans="3:3" ht="16.5" customHeight="1" x14ac:dyDescent="0.25">
      <c r="C762" s="30"/>
    </row>
    <row r="763" spans="3:3" ht="16.5" customHeight="1" x14ac:dyDescent="0.25">
      <c r="C763" s="30"/>
    </row>
    <row r="764" spans="3:3" ht="16.5" customHeight="1" x14ac:dyDescent="0.25">
      <c r="C764" s="30"/>
    </row>
    <row r="765" spans="3:3" ht="16.5" customHeight="1" x14ac:dyDescent="0.25">
      <c r="C765" s="30"/>
    </row>
    <row r="766" spans="3:3" ht="16.5" customHeight="1" x14ac:dyDescent="0.25">
      <c r="C766" s="30"/>
    </row>
    <row r="767" spans="3:3" ht="16.5" customHeight="1" x14ac:dyDescent="0.25">
      <c r="C767" s="30"/>
    </row>
    <row r="768" spans="3:3" ht="16.5" customHeight="1" x14ac:dyDescent="0.25">
      <c r="C768" s="30"/>
    </row>
    <row r="769" spans="3:3" ht="16.5" customHeight="1" x14ac:dyDescent="0.25">
      <c r="C769" s="30"/>
    </row>
    <row r="770" spans="3:3" ht="16.5" customHeight="1" x14ac:dyDescent="0.25">
      <c r="C770" s="30"/>
    </row>
    <row r="771" spans="3:3" ht="16.5" customHeight="1" x14ac:dyDescent="0.25">
      <c r="C771" s="30"/>
    </row>
    <row r="772" spans="3:3" ht="16.5" customHeight="1" x14ac:dyDescent="0.25">
      <c r="C772" s="30"/>
    </row>
    <row r="773" spans="3:3" ht="16.5" customHeight="1" x14ac:dyDescent="0.25">
      <c r="C773" s="30"/>
    </row>
    <row r="774" spans="3:3" ht="16.5" customHeight="1" x14ac:dyDescent="0.25">
      <c r="C774" s="30"/>
    </row>
    <row r="775" spans="3:3" ht="16.5" customHeight="1" x14ac:dyDescent="0.25">
      <c r="C775" s="30"/>
    </row>
    <row r="776" spans="3:3" ht="16.5" customHeight="1" x14ac:dyDescent="0.25">
      <c r="C776" s="30"/>
    </row>
    <row r="777" spans="3:3" ht="16.5" customHeight="1" x14ac:dyDescent="0.25">
      <c r="C777" s="30"/>
    </row>
    <row r="778" spans="3:3" ht="16.5" customHeight="1" x14ac:dyDescent="0.25">
      <c r="C778" s="30"/>
    </row>
    <row r="779" spans="3:3" ht="16.5" customHeight="1" x14ac:dyDescent="0.25">
      <c r="C779" s="30"/>
    </row>
    <row r="780" spans="3:3" ht="16.5" customHeight="1" x14ac:dyDescent="0.25">
      <c r="C780" s="30"/>
    </row>
    <row r="781" spans="3:3" ht="16.5" customHeight="1" x14ac:dyDescent="0.25">
      <c r="C781" s="30"/>
    </row>
    <row r="782" spans="3:3" ht="16.5" customHeight="1" x14ac:dyDescent="0.25">
      <c r="C782" s="30"/>
    </row>
    <row r="783" spans="3:3" ht="16.5" customHeight="1" x14ac:dyDescent="0.25">
      <c r="C783" s="30"/>
    </row>
    <row r="784" spans="3:3" ht="16.5" customHeight="1" x14ac:dyDescent="0.25">
      <c r="C784" s="30"/>
    </row>
    <row r="785" spans="3:3" ht="16.5" customHeight="1" x14ac:dyDescent="0.25">
      <c r="C785" s="30"/>
    </row>
    <row r="786" spans="3:3" ht="16.5" customHeight="1" x14ac:dyDescent="0.25">
      <c r="C786" s="30"/>
    </row>
    <row r="787" spans="3:3" ht="16.5" customHeight="1" x14ac:dyDescent="0.25">
      <c r="C787" s="30"/>
    </row>
    <row r="788" spans="3:3" ht="16.5" customHeight="1" x14ac:dyDescent="0.25">
      <c r="C788" s="30"/>
    </row>
    <row r="789" spans="3:3" ht="16.5" customHeight="1" x14ac:dyDescent="0.25">
      <c r="C789" s="30"/>
    </row>
    <row r="790" spans="3:3" ht="16.5" customHeight="1" x14ac:dyDescent="0.25">
      <c r="C790" s="30"/>
    </row>
    <row r="791" spans="3:3" ht="16.5" customHeight="1" x14ac:dyDescent="0.25">
      <c r="C791" s="30"/>
    </row>
    <row r="792" spans="3:3" ht="16.5" customHeight="1" x14ac:dyDescent="0.25">
      <c r="C792" s="30"/>
    </row>
    <row r="793" spans="3:3" ht="16.5" customHeight="1" x14ac:dyDescent="0.25">
      <c r="C793" s="30"/>
    </row>
    <row r="794" spans="3:3" ht="16.5" customHeight="1" x14ac:dyDescent="0.25">
      <c r="C794" s="30"/>
    </row>
    <row r="795" spans="3:3" ht="16.5" customHeight="1" x14ac:dyDescent="0.25">
      <c r="C795" s="30"/>
    </row>
    <row r="796" spans="3:3" ht="16.5" customHeight="1" x14ac:dyDescent="0.25">
      <c r="C796" s="30"/>
    </row>
    <row r="797" spans="3:3" ht="16.5" customHeight="1" x14ac:dyDescent="0.25">
      <c r="C797" s="30"/>
    </row>
    <row r="798" spans="3:3" ht="16.5" customHeight="1" x14ac:dyDescent="0.25">
      <c r="C798" s="30"/>
    </row>
    <row r="799" spans="3:3" ht="16.5" customHeight="1" x14ac:dyDescent="0.25">
      <c r="C799" s="30"/>
    </row>
    <row r="800" spans="3:3" ht="16.5" customHeight="1" x14ac:dyDescent="0.25">
      <c r="C800" s="30"/>
    </row>
    <row r="801" spans="3:3" ht="16.5" customHeight="1" x14ac:dyDescent="0.25">
      <c r="C801" s="30"/>
    </row>
    <row r="802" spans="3:3" ht="16.5" customHeight="1" x14ac:dyDescent="0.25">
      <c r="C802" s="30"/>
    </row>
    <row r="803" spans="3:3" ht="16.5" customHeight="1" x14ac:dyDescent="0.25">
      <c r="C803" s="30"/>
    </row>
    <row r="804" spans="3:3" ht="16.5" customHeight="1" x14ac:dyDescent="0.25">
      <c r="C804" s="30"/>
    </row>
    <row r="805" spans="3:3" ht="16.5" customHeight="1" x14ac:dyDescent="0.25">
      <c r="C805" s="30"/>
    </row>
    <row r="806" spans="3:3" ht="16.5" customHeight="1" x14ac:dyDescent="0.25">
      <c r="C806" s="30"/>
    </row>
    <row r="807" spans="3:3" ht="16.5" customHeight="1" x14ac:dyDescent="0.25">
      <c r="C807" s="30"/>
    </row>
    <row r="808" spans="3:3" ht="16.5" customHeight="1" x14ac:dyDescent="0.25">
      <c r="C808" s="30"/>
    </row>
    <row r="809" spans="3:3" ht="16.5" customHeight="1" x14ac:dyDescent="0.25">
      <c r="C809" s="30"/>
    </row>
    <row r="810" spans="3:3" ht="16.5" customHeight="1" x14ac:dyDescent="0.25">
      <c r="C810" s="30"/>
    </row>
    <row r="811" spans="3:3" ht="16.5" customHeight="1" x14ac:dyDescent="0.25">
      <c r="C811" s="30"/>
    </row>
    <row r="812" spans="3:3" ht="16.5" customHeight="1" x14ac:dyDescent="0.25">
      <c r="C812" s="30"/>
    </row>
    <row r="813" spans="3:3" ht="16.5" customHeight="1" x14ac:dyDescent="0.25">
      <c r="C813" s="30"/>
    </row>
    <row r="814" spans="3:3" ht="16.5" customHeight="1" x14ac:dyDescent="0.25">
      <c r="C814" s="30"/>
    </row>
    <row r="815" spans="3:3" ht="16.5" customHeight="1" x14ac:dyDescent="0.25">
      <c r="C815" s="30"/>
    </row>
    <row r="816" spans="3:3" ht="16.5" customHeight="1" x14ac:dyDescent="0.25">
      <c r="C816" s="30"/>
    </row>
    <row r="817" spans="3:3" ht="16.5" customHeight="1" x14ac:dyDescent="0.25">
      <c r="C817" s="30"/>
    </row>
    <row r="818" spans="3:3" ht="16.5" customHeight="1" x14ac:dyDescent="0.25">
      <c r="C818" s="30"/>
    </row>
    <row r="819" spans="3:3" ht="16.5" customHeight="1" x14ac:dyDescent="0.25">
      <c r="C819" s="30"/>
    </row>
    <row r="820" spans="3:3" ht="16.5" customHeight="1" x14ac:dyDescent="0.25">
      <c r="C820" s="30"/>
    </row>
    <row r="821" spans="3:3" ht="16.5" customHeight="1" x14ac:dyDescent="0.25">
      <c r="C821" s="30"/>
    </row>
    <row r="822" spans="3:3" ht="16.5" customHeight="1" x14ac:dyDescent="0.25">
      <c r="C822" s="30"/>
    </row>
    <row r="823" spans="3:3" ht="16.5" customHeight="1" x14ac:dyDescent="0.25">
      <c r="C823" s="30"/>
    </row>
    <row r="824" spans="3:3" ht="16.5" customHeight="1" x14ac:dyDescent="0.25">
      <c r="C824" s="30"/>
    </row>
    <row r="825" spans="3:3" ht="16.5" customHeight="1" x14ac:dyDescent="0.25">
      <c r="C825" s="30"/>
    </row>
    <row r="826" spans="3:3" ht="16.5" customHeight="1" x14ac:dyDescent="0.25">
      <c r="C826" s="30"/>
    </row>
    <row r="827" spans="3:3" ht="16.5" customHeight="1" x14ac:dyDescent="0.25">
      <c r="C827" s="30"/>
    </row>
    <row r="828" spans="3:3" ht="16.5" customHeight="1" x14ac:dyDescent="0.25">
      <c r="C828" s="30"/>
    </row>
    <row r="829" spans="3:3" ht="16.5" customHeight="1" x14ac:dyDescent="0.25">
      <c r="C829" s="30"/>
    </row>
    <row r="830" spans="3:3" ht="16.5" customHeight="1" x14ac:dyDescent="0.25">
      <c r="C830" s="30"/>
    </row>
    <row r="831" spans="3:3" ht="16.5" customHeight="1" x14ac:dyDescent="0.25">
      <c r="C831" s="30"/>
    </row>
    <row r="832" spans="3:3" ht="16.5" customHeight="1" x14ac:dyDescent="0.25">
      <c r="C832" s="30"/>
    </row>
    <row r="833" spans="3:3" ht="16.5" customHeight="1" x14ac:dyDescent="0.25">
      <c r="C833" s="30"/>
    </row>
    <row r="834" spans="3:3" ht="16.5" customHeight="1" x14ac:dyDescent="0.25">
      <c r="C834" s="30"/>
    </row>
    <row r="835" spans="3:3" ht="16.5" customHeight="1" x14ac:dyDescent="0.25">
      <c r="C835" s="30"/>
    </row>
    <row r="836" spans="3:3" ht="16.5" customHeight="1" x14ac:dyDescent="0.25">
      <c r="C836" s="30"/>
    </row>
    <row r="837" spans="3:3" ht="16.5" customHeight="1" x14ac:dyDescent="0.25">
      <c r="C837" s="30"/>
    </row>
    <row r="838" spans="3:3" ht="16.5" customHeight="1" x14ac:dyDescent="0.25">
      <c r="C838" s="30"/>
    </row>
    <row r="839" spans="3:3" ht="16.5" customHeight="1" x14ac:dyDescent="0.25">
      <c r="C839" s="30"/>
    </row>
    <row r="840" spans="3:3" ht="16.5" customHeight="1" x14ac:dyDescent="0.25">
      <c r="C840" s="30"/>
    </row>
    <row r="841" spans="3:3" ht="16.5" customHeight="1" x14ac:dyDescent="0.25">
      <c r="C841" s="30"/>
    </row>
    <row r="842" spans="3:3" ht="16.5" customHeight="1" x14ac:dyDescent="0.25">
      <c r="C842" s="30"/>
    </row>
    <row r="843" spans="3:3" ht="16.5" customHeight="1" x14ac:dyDescent="0.25">
      <c r="C843" s="30"/>
    </row>
    <row r="844" spans="3:3" ht="16.5" customHeight="1" x14ac:dyDescent="0.25">
      <c r="C844" s="30"/>
    </row>
    <row r="845" spans="3:3" ht="16.5" customHeight="1" x14ac:dyDescent="0.25">
      <c r="C845" s="30"/>
    </row>
    <row r="846" spans="3:3" ht="16.5" customHeight="1" x14ac:dyDescent="0.25">
      <c r="C846" s="30"/>
    </row>
    <row r="847" spans="3:3" ht="16.5" customHeight="1" x14ac:dyDescent="0.25">
      <c r="C847" s="30"/>
    </row>
    <row r="848" spans="3:3" ht="16.5" customHeight="1" x14ac:dyDescent="0.25">
      <c r="C848" s="30"/>
    </row>
    <row r="849" spans="3:3" ht="16.5" customHeight="1" x14ac:dyDescent="0.25">
      <c r="C849" s="30"/>
    </row>
    <row r="850" spans="3:3" ht="16.5" customHeight="1" x14ac:dyDescent="0.25">
      <c r="C850" s="30"/>
    </row>
    <row r="851" spans="3:3" ht="16.5" customHeight="1" x14ac:dyDescent="0.25">
      <c r="C851" s="30"/>
    </row>
    <row r="852" spans="3:3" ht="16.5" customHeight="1" x14ac:dyDescent="0.25">
      <c r="C852" s="30"/>
    </row>
    <row r="853" spans="3:3" ht="16.5" customHeight="1" x14ac:dyDescent="0.25">
      <c r="C853" s="30"/>
    </row>
    <row r="854" spans="3:3" ht="16.5" customHeight="1" x14ac:dyDescent="0.25">
      <c r="C854" s="30"/>
    </row>
    <row r="855" spans="3:3" ht="16.5" customHeight="1" x14ac:dyDescent="0.25">
      <c r="C855" s="30"/>
    </row>
    <row r="856" spans="3:3" ht="16.5" customHeight="1" x14ac:dyDescent="0.25">
      <c r="C856" s="30"/>
    </row>
    <row r="857" spans="3:3" ht="16.5" customHeight="1" x14ac:dyDescent="0.25">
      <c r="C857" s="30"/>
    </row>
    <row r="858" spans="3:3" ht="16.5" customHeight="1" x14ac:dyDescent="0.25">
      <c r="C858" s="30"/>
    </row>
    <row r="859" spans="3:3" ht="16.5" customHeight="1" x14ac:dyDescent="0.25">
      <c r="C859" s="30"/>
    </row>
    <row r="860" spans="3:3" ht="16.5" customHeight="1" x14ac:dyDescent="0.25">
      <c r="C860" s="30"/>
    </row>
    <row r="861" spans="3:3" ht="16.5" customHeight="1" x14ac:dyDescent="0.25">
      <c r="C861" s="30"/>
    </row>
    <row r="862" spans="3:3" ht="16.5" customHeight="1" x14ac:dyDescent="0.25">
      <c r="C862" s="30"/>
    </row>
    <row r="863" spans="3:3" ht="16.5" customHeight="1" x14ac:dyDescent="0.25">
      <c r="C863" s="30"/>
    </row>
    <row r="864" spans="3:3" ht="16.5" customHeight="1" x14ac:dyDescent="0.25">
      <c r="C864" s="30"/>
    </row>
    <row r="865" spans="3:3" ht="16.5" customHeight="1" x14ac:dyDescent="0.25">
      <c r="C865" s="30"/>
    </row>
    <row r="866" spans="3:3" ht="16.5" customHeight="1" x14ac:dyDescent="0.25">
      <c r="C866" s="30"/>
    </row>
    <row r="867" spans="3:3" ht="16.5" customHeight="1" x14ac:dyDescent="0.25">
      <c r="C867" s="30"/>
    </row>
    <row r="868" spans="3:3" ht="16.5" customHeight="1" x14ac:dyDescent="0.25">
      <c r="C868" s="30"/>
    </row>
    <row r="869" spans="3:3" ht="16.5" customHeight="1" x14ac:dyDescent="0.25">
      <c r="C869" s="30"/>
    </row>
    <row r="870" spans="3:3" ht="16.5" customHeight="1" x14ac:dyDescent="0.25">
      <c r="C870" s="30"/>
    </row>
    <row r="871" spans="3:3" ht="16.5" customHeight="1" x14ac:dyDescent="0.25">
      <c r="C871" s="30"/>
    </row>
    <row r="872" spans="3:3" ht="16.5" customHeight="1" x14ac:dyDescent="0.25">
      <c r="C872" s="30"/>
    </row>
    <row r="873" spans="3:3" ht="16.5" customHeight="1" x14ac:dyDescent="0.25">
      <c r="C873" s="30"/>
    </row>
    <row r="874" spans="3:3" ht="16.5" customHeight="1" x14ac:dyDescent="0.25">
      <c r="C874" s="30"/>
    </row>
    <row r="875" spans="3:3" ht="16.5" customHeight="1" x14ac:dyDescent="0.25">
      <c r="C875" s="30"/>
    </row>
    <row r="876" spans="3:3" ht="16.5" customHeight="1" x14ac:dyDescent="0.25">
      <c r="C876" s="30"/>
    </row>
    <row r="877" spans="3:3" ht="16.5" customHeight="1" x14ac:dyDescent="0.25">
      <c r="C877" s="30"/>
    </row>
    <row r="878" spans="3:3" ht="16.5" customHeight="1" x14ac:dyDescent="0.25">
      <c r="C878" s="30"/>
    </row>
    <row r="879" spans="3:3" ht="16.5" customHeight="1" x14ac:dyDescent="0.25">
      <c r="C879" s="30"/>
    </row>
    <row r="880" spans="3:3" ht="16.5" customHeight="1" x14ac:dyDescent="0.25">
      <c r="C880" s="30"/>
    </row>
    <row r="881" spans="3:3" ht="16.5" customHeight="1" x14ac:dyDescent="0.25">
      <c r="C881" s="30"/>
    </row>
    <row r="882" spans="3:3" ht="16.5" customHeight="1" x14ac:dyDescent="0.25">
      <c r="C882" s="30"/>
    </row>
    <row r="883" spans="3:3" ht="16.5" customHeight="1" x14ac:dyDescent="0.25">
      <c r="C883" s="30"/>
    </row>
    <row r="884" spans="3:3" ht="16.5" customHeight="1" x14ac:dyDescent="0.25">
      <c r="C884" s="30"/>
    </row>
    <row r="885" spans="3:3" ht="16.5" customHeight="1" x14ac:dyDescent="0.25">
      <c r="C885" s="30"/>
    </row>
    <row r="886" spans="3:3" ht="16.5" customHeight="1" x14ac:dyDescent="0.25">
      <c r="C886" s="30"/>
    </row>
    <row r="887" spans="3:3" ht="16.5" customHeight="1" x14ac:dyDescent="0.25">
      <c r="C887" s="30"/>
    </row>
    <row r="888" spans="3:3" ht="16.5" customHeight="1" x14ac:dyDescent="0.25">
      <c r="C888" s="30"/>
    </row>
    <row r="889" spans="3:3" ht="16.5" customHeight="1" x14ac:dyDescent="0.25">
      <c r="C889" s="30"/>
    </row>
    <row r="890" spans="3:3" ht="16.5" customHeight="1" x14ac:dyDescent="0.25">
      <c r="C890" s="30"/>
    </row>
    <row r="891" spans="3:3" ht="16.5" customHeight="1" x14ac:dyDescent="0.25">
      <c r="C891" s="30"/>
    </row>
    <row r="892" spans="3:3" ht="16.5" customHeight="1" x14ac:dyDescent="0.25">
      <c r="C892" s="30"/>
    </row>
    <row r="893" spans="3:3" ht="16.5" customHeight="1" x14ac:dyDescent="0.25">
      <c r="C893" s="30"/>
    </row>
    <row r="894" spans="3:3" ht="16.5" customHeight="1" x14ac:dyDescent="0.25">
      <c r="C894" s="30"/>
    </row>
    <row r="895" spans="3:3" ht="16.5" customHeight="1" x14ac:dyDescent="0.25">
      <c r="C895" s="30"/>
    </row>
    <row r="896" spans="3:3" ht="16.5" customHeight="1" x14ac:dyDescent="0.25">
      <c r="C896" s="30"/>
    </row>
    <row r="897" spans="3:3" ht="16.5" customHeight="1" x14ac:dyDescent="0.25">
      <c r="C897" s="30"/>
    </row>
    <row r="898" spans="3:3" ht="16.5" customHeight="1" x14ac:dyDescent="0.25">
      <c r="C898" s="30"/>
    </row>
    <row r="899" spans="3:3" ht="16.5" customHeight="1" x14ac:dyDescent="0.25">
      <c r="C899" s="30"/>
    </row>
    <row r="900" spans="3:3" ht="16.5" customHeight="1" x14ac:dyDescent="0.25">
      <c r="C900" s="30"/>
    </row>
    <row r="901" spans="3:3" ht="16.5" customHeight="1" x14ac:dyDescent="0.25">
      <c r="C901" s="30"/>
    </row>
    <row r="902" spans="3:3" ht="16.5" customHeight="1" x14ac:dyDescent="0.25">
      <c r="C902" s="30"/>
    </row>
    <row r="903" spans="3:3" ht="16.5" customHeight="1" x14ac:dyDescent="0.25">
      <c r="C903" s="30"/>
    </row>
    <row r="904" spans="3:3" ht="16.5" customHeight="1" x14ac:dyDescent="0.25">
      <c r="C904" s="30"/>
    </row>
    <row r="905" spans="3:3" ht="16.5" customHeight="1" x14ac:dyDescent="0.25">
      <c r="C905" s="30"/>
    </row>
    <row r="906" spans="3:3" ht="16.5" customHeight="1" x14ac:dyDescent="0.25">
      <c r="C906" s="30"/>
    </row>
    <row r="907" spans="3:3" ht="16.5" customHeight="1" x14ac:dyDescent="0.25">
      <c r="C907" s="30"/>
    </row>
    <row r="908" spans="3:3" ht="16.5" customHeight="1" x14ac:dyDescent="0.25">
      <c r="C908" s="30"/>
    </row>
    <row r="909" spans="3:3" ht="16.5" customHeight="1" x14ac:dyDescent="0.25">
      <c r="C909" s="30"/>
    </row>
    <row r="910" spans="3:3" ht="16.5" customHeight="1" x14ac:dyDescent="0.25">
      <c r="C910" s="30"/>
    </row>
    <row r="911" spans="3:3" ht="16.5" customHeight="1" x14ac:dyDescent="0.25">
      <c r="C911" s="30"/>
    </row>
    <row r="912" spans="3:3" ht="16.5" customHeight="1" x14ac:dyDescent="0.25">
      <c r="C912" s="30"/>
    </row>
    <row r="913" spans="3:3" ht="16.5" customHeight="1" x14ac:dyDescent="0.25">
      <c r="C913" s="30"/>
    </row>
    <row r="914" spans="3:3" ht="16.5" customHeight="1" x14ac:dyDescent="0.25">
      <c r="C914" s="30"/>
    </row>
    <row r="915" spans="3:3" ht="16.5" customHeight="1" x14ac:dyDescent="0.25">
      <c r="C915" s="30"/>
    </row>
    <row r="916" spans="3:3" ht="16.5" customHeight="1" x14ac:dyDescent="0.25">
      <c r="C916" s="30"/>
    </row>
    <row r="917" spans="3:3" ht="16.5" customHeight="1" x14ac:dyDescent="0.25">
      <c r="C917" s="30"/>
    </row>
    <row r="918" spans="3:3" ht="16.5" customHeight="1" x14ac:dyDescent="0.25">
      <c r="C918" s="30"/>
    </row>
    <row r="919" spans="3:3" ht="16.5" customHeight="1" x14ac:dyDescent="0.25">
      <c r="C919" s="30"/>
    </row>
    <row r="920" spans="3:3" ht="16.5" customHeight="1" x14ac:dyDescent="0.25">
      <c r="C920" s="30"/>
    </row>
    <row r="921" spans="3:3" ht="16.5" customHeight="1" x14ac:dyDescent="0.25">
      <c r="C921" s="30"/>
    </row>
    <row r="922" spans="3:3" ht="16.5" customHeight="1" x14ac:dyDescent="0.25">
      <c r="C922" s="30"/>
    </row>
    <row r="923" spans="3:3" ht="16.5" customHeight="1" x14ac:dyDescent="0.25">
      <c r="C923" s="30"/>
    </row>
    <row r="924" spans="3:3" ht="16.5" customHeight="1" x14ac:dyDescent="0.25">
      <c r="C924" s="30"/>
    </row>
    <row r="925" spans="3:3" ht="16.5" customHeight="1" x14ac:dyDescent="0.25">
      <c r="C925" s="30"/>
    </row>
    <row r="926" spans="3:3" ht="16.5" customHeight="1" x14ac:dyDescent="0.25">
      <c r="C926" s="30"/>
    </row>
    <row r="927" spans="3:3" ht="16.5" customHeight="1" x14ac:dyDescent="0.25">
      <c r="C927" s="30"/>
    </row>
    <row r="928" spans="3:3" ht="16.5" customHeight="1" x14ac:dyDescent="0.25">
      <c r="C928" s="30"/>
    </row>
    <row r="929" spans="3:3" ht="16.5" customHeight="1" x14ac:dyDescent="0.25">
      <c r="C929" s="30"/>
    </row>
    <row r="930" spans="3:3" ht="16.5" customHeight="1" x14ac:dyDescent="0.25">
      <c r="C930" s="30"/>
    </row>
    <row r="931" spans="3:3" ht="16.5" customHeight="1" x14ac:dyDescent="0.25">
      <c r="C931" s="30"/>
    </row>
    <row r="932" spans="3:3" ht="16.5" customHeight="1" x14ac:dyDescent="0.25">
      <c r="C932" s="30"/>
    </row>
    <row r="933" spans="3:3" ht="16.5" customHeight="1" x14ac:dyDescent="0.25">
      <c r="C933" s="30"/>
    </row>
    <row r="934" spans="3:3" ht="16.5" customHeight="1" x14ac:dyDescent="0.25">
      <c r="C934" s="30"/>
    </row>
    <row r="935" spans="3:3" ht="16.5" customHeight="1" x14ac:dyDescent="0.25">
      <c r="C935" s="30"/>
    </row>
    <row r="936" spans="3:3" ht="16.5" customHeight="1" x14ac:dyDescent="0.25">
      <c r="C936" s="30"/>
    </row>
    <row r="937" spans="3:3" ht="16.5" customHeight="1" x14ac:dyDescent="0.25">
      <c r="C937" s="30"/>
    </row>
    <row r="938" spans="3:3" ht="16.5" customHeight="1" x14ac:dyDescent="0.25">
      <c r="C938" s="30"/>
    </row>
    <row r="939" spans="3:3" ht="16.5" customHeight="1" x14ac:dyDescent="0.25">
      <c r="C939" s="30"/>
    </row>
    <row r="940" spans="3:3" ht="16.5" customHeight="1" x14ac:dyDescent="0.25">
      <c r="C940" s="30"/>
    </row>
    <row r="941" spans="3:3" ht="16.5" customHeight="1" x14ac:dyDescent="0.25">
      <c r="C941" s="30"/>
    </row>
    <row r="942" spans="3:3" ht="16.5" customHeight="1" x14ac:dyDescent="0.25">
      <c r="C942" s="30"/>
    </row>
    <row r="943" spans="3:3" ht="16.5" customHeight="1" x14ac:dyDescent="0.25">
      <c r="C943" s="30"/>
    </row>
    <row r="944" spans="3:3" ht="16.5" customHeight="1" x14ac:dyDescent="0.25">
      <c r="C944" s="30"/>
    </row>
    <row r="945" spans="3:3" ht="16.5" customHeight="1" x14ac:dyDescent="0.25">
      <c r="C945" s="30"/>
    </row>
    <row r="946" spans="3:3" ht="16.5" customHeight="1" x14ac:dyDescent="0.25">
      <c r="C946" s="30"/>
    </row>
    <row r="947" spans="3:3" ht="16.5" customHeight="1" x14ac:dyDescent="0.25">
      <c r="C947" s="30"/>
    </row>
    <row r="948" spans="3:3" ht="16.5" customHeight="1" x14ac:dyDescent="0.25">
      <c r="C948" s="30"/>
    </row>
    <row r="949" spans="3:3" ht="16.5" customHeight="1" x14ac:dyDescent="0.25">
      <c r="C949" s="30"/>
    </row>
    <row r="950" spans="3:3" ht="16.5" customHeight="1" x14ac:dyDescent="0.25">
      <c r="C950" s="30"/>
    </row>
    <row r="951" spans="3:3" ht="16.5" customHeight="1" x14ac:dyDescent="0.25">
      <c r="C951" s="30"/>
    </row>
    <row r="952" spans="3:3" ht="16.5" customHeight="1" x14ac:dyDescent="0.25">
      <c r="C952" s="30"/>
    </row>
    <row r="953" spans="3:3" ht="16.5" customHeight="1" x14ac:dyDescent="0.25">
      <c r="C953" s="30"/>
    </row>
    <row r="954" spans="3:3" ht="16.5" customHeight="1" x14ac:dyDescent="0.25">
      <c r="C954" s="30"/>
    </row>
    <row r="955" spans="3:3" ht="16.5" customHeight="1" x14ac:dyDescent="0.25">
      <c r="C955" s="30"/>
    </row>
    <row r="956" spans="3:3" ht="16.5" customHeight="1" x14ac:dyDescent="0.25">
      <c r="C956" s="30"/>
    </row>
    <row r="957" spans="3:3" ht="16.5" customHeight="1" x14ac:dyDescent="0.25">
      <c r="C957" s="30"/>
    </row>
    <row r="958" spans="3:3" ht="16.5" customHeight="1" x14ac:dyDescent="0.25">
      <c r="C958" s="30"/>
    </row>
    <row r="959" spans="3:3" ht="16.5" customHeight="1" x14ac:dyDescent="0.25">
      <c r="C959" s="30"/>
    </row>
    <row r="960" spans="3:3" ht="16.5" customHeight="1" x14ac:dyDescent="0.25">
      <c r="C960" s="30"/>
    </row>
    <row r="961" spans="3:3" ht="16.5" customHeight="1" x14ac:dyDescent="0.25">
      <c r="C961" s="30"/>
    </row>
    <row r="962" spans="3:3" ht="16.5" customHeight="1" x14ac:dyDescent="0.25">
      <c r="C962" s="30"/>
    </row>
    <row r="963" spans="3:3" ht="16.5" customHeight="1" x14ac:dyDescent="0.25">
      <c r="C963" s="30"/>
    </row>
    <row r="964" spans="3:3" ht="16.5" customHeight="1" x14ac:dyDescent="0.25">
      <c r="C964" s="30"/>
    </row>
    <row r="965" spans="3:3" ht="16.5" customHeight="1" x14ac:dyDescent="0.25">
      <c r="C965" s="30"/>
    </row>
    <row r="966" spans="3:3" ht="16.5" customHeight="1" x14ac:dyDescent="0.25">
      <c r="C966" s="30"/>
    </row>
    <row r="967" spans="3:3" ht="16.5" customHeight="1" x14ac:dyDescent="0.25">
      <c r="C967" s="30"/>
    </row>
    <row r="968" spans="3:3" ht="16.5" customHeight="1" x14ac:dyDescent="0.25">
      <c r="C968" s="30"/>
    </row>
    <row r="969" spans="3:3" ht="16.5" customHeight="1" x14ac:dyDescent="0.25">
      <c r="C969" s="30"/>
    </row>
    <row r="970" spans="3:3" ht="16.5" customHeight="1" x14ac:dyDescent="0.25">
      <c r="C970" s="30"/>
    </row>
    <row r="971" spans="3:3" ht="16.5" customHeight="1" x14ac:dyDescent="0.25">
      <c r="C971" s="30"/>
    </row>
    <row r="972" spans="3:3" ht="16.5" customHeight="1" x14ac:dyDescent="0.25">
      <c r="C972" s="30"/>
    </row>
    <row r="973" spans="3:3" ht="16.5" customHeight="1" x14ac:dyDescent="0.25">
      <c r="C973" s="30"/>
    </row>
    <row r="974" spans="3:3" ht="16.5" customHeight="1" x14ac:dyDescent="0.25">
      <c r="C974" s="30"/>
    </row>
    <row r="975" spans="3:3" ht="16.5" customHeight="1" x14ac:dyDescent="0.25">
      <c r="C975" s="30"/>
    </row>
    <row r="976" spans="3:3" ht="16.5" customHeight="1" x14ac:dyDescent="0.25">
      <c r="C976" s="30"/>
    </row>
    <row r="977" spans="3:3" ht="16.5" customHeight="1" x14ac:dyDescent="0.25">
      <c r="C977" s="30"/>
    </row>
    <row r="978" spans="3:3" ht="16.5" customHeight="1" x14ac:dyDescent="0.25">
      <c r="C978" s="30"/>
    </row>
    <row r="979" spans="3:3" ht="16.5" customHeight="1" x14ac:dyDescent="0.25">
      <c r="C979" s="30"/>
    </row>
    <row r="980" spans="3:3" ht="16.5" customHeight="1" x14ac:dyDescent="0.25">
      <c r="C980" s="30"/>
    </row>
    <row r="981" spans="3:3" ht="16.5" customHeight="1" x14ac:dyDescent="0.25">
      <c r="C981" s="30"/>
    </row>
    <row r="982" spans="3:3" ht="16.5" customHeight="1" x14ac:dyDescent="0.25">
      <c r="C982" s="30"/>
    </row>
    <row r="983" spans="3:3" ht="16.5" customHeight="1" x14ac:dyDescent="0.25">
      <c r="C983" s="30"/>
    </row>
    <row r="984" spans="3:3" ht="16.5" customHeight="1" x14ac:dyDescent="0.25">
      <c r="C984" s="30"/>
    </row>
    <row r="985" spans="3:3" ht="16.5" customHeight="1" x14ac:dyDescent="0.25">
      <c r="C985" s="30"/>
    </row>
    <row r="986" spans="3:3" ht="16.5" customHeight="1" x14ac:dyDescent="0.25">
      <c r="C986" s="30"/>
    </row>
    <row r="987" spans="3:3" ht="16.5" customHeight="1" x14ac:dyDescent="0.25">
      <c r="C987" s="30"/>
    </row>
    <row r="988" spans="3:3" ht="16.5" customHeight="1" x14ac:dyDescent="0.25">
      <c r="C988" s="30"/>
    </row>
    <row r="989" spans="3:3" ht="16.5" customHeight="1" x14ac:dyDescent="0.25">
      <c r="C989" s="30"/>
    </row>
    <row r="990" spans="3:3" ht="16.5" customHeight="1" x14ac:dyDescent="0.25">
      <c r="C990" s="30"/>
    </row>
    <row r="991" spans="3:3" ht="16.5" customHeight="1" x14ac:dyDescent="0.25">
      <c r="C991" s="30"/>
    </row>
    <row r="992" spans="3:3" ht="16.5" customHeight="1" x14ac:dyDescent="0.25">
      <c r="C992" s="30"/>
    </row>
    <row r="993" spans="3:3" ht="16.5" customHeight="1" x14ac:dyDescent="0.25">
      <c r="C993" s="30"/>
    </row>
    <row r="994" spans="3:3" ht="16.5" customHeight="1" x14ac:dyDescent="0.25">
      <c r="C994" s="30"/>
    </row>
    <row r="995" spans="3:3" ht="16.5" customHeight="1" x14ac:dyDescent="0.25">
      <c r="C995" s="30"/>
    </row>
    <row r="996" spans="3:3" ht="16.5" customHeight="1" x14ac:dyDescent="0.25">
      <c r="C996" s="30"/>
    </row>
    <row r="997" spans="3:3" ht="16.5" customHeight="1" x14ac:dyDescent="0.25">
      <c r="C997" s="30"/>
    </row>
    <row r="998" spans="3:3" ht="16.5" customHeight="1" x14ac:dyDescent="0.25">
      <c r="C998" s="30"/>
    </row>
    <row r="999" spans="3:3" ht="16.5" customHeight="1" x14ac:dyDescent="0.25">
      <c r="C999" s="30"/>
    </row>
    <row r="1000" spans="3:3" ht="16.5" customHeight="1" x14ac:dyDescent="0.25">
      <c r="C1000" s="30"/>
    </row>
    <row r="1001" spans="3:3" ht="16.5" customHeight="1" x14ac:dyDescent="0.25">
      <c r="C1001" s="30"/>
    </row>
    <row r="1002" spans="3:3" ht="16.5" customHeight="1" x14ac:dyDescent="0.25">
      <c r="C1002" s="30"/>
    </row>
    <row r="1003" spans="3:3" ht="16.5" customHeight="1" x14ac:dyDescent="0.25">
      <c r="C1003" s="30"/>
    </row>
    <row r="1004" spans="3:3" ht="16.5" customHeight="1" x14ac:dyDescent="0.25">
      <c r="C1004" s="30"/>
    </row>
    <row r="1005" spans="3:3" ht="16.5" customHeight="1" x14ac:dyDescent="0.25">
      <c r="C1005" s="30"/>
    </row>
    <row r="1006" spans="3:3" ht="16.5" customHeight="1" x14ac:dyDescent="0.25">
      <c r="C1006" s="30"/>
    </row>
    <row r="1007" spans="3:3" ht="16.5" customHeight="1" x14ac:dyDescent="0.25">
      <c r="C1007" s="30"/>
    </row>
    <row r="1008" spans="3:3" ht="16.5" customHeight="1" x14ac:dyDescent="0.25">
      <c r="C1008" s="30"/>
    </row>
    <row r="1009" spans="3:3" ht="16.5" customHeight="1" x14ac:dyDescent="0.25">
      <c r="C1009" s="30"/>
    </row>
    <row r="1010" spans="3:3" ht="16.5" customHeight="1" x14ac:dyDescent="0.25">
      <c r="C1010" s="30"/>
    </row>
    <row r="1011" spans="3:3" ht="16.5" customHeight="1" x14ac:dyDescent="0.25">
      <c r="C1011" s="30"/>
    </row>
    <row r="1012" spans="3:3" ht="16.5" customHeight="1" x14ac:dyDescent="0.25">
      <c r="C1012" s="30"/>
    </row>
    <row r="1013" spans="3:3" ht="16.5" customHeight="1" x14ac:dyDescent="0.25">
      <c r="C1013" s="30"/>
    </row>
    <row r="1014" spans="3:3" ht="16.5" customHeight="1" x14ac:dyDescent="0.25">
      <c r="C1014" s="30"/>
    </row>
    <row r="1015" spans="3:3" ht="16.5" customHeight="1" x14ac:dyDescent="0.25">
      <c r="C1015" s="30"/>
    </row>
    <row r="1016" spans="3:3" ht="16.5" customHeight="1" x14ac:dyDescent="0.25">
      <c r="C1016" s="30"/>
    </row>
    <row r="1017" spans="3:3" ht="16.5" customHeight="1" x14ac:dyDescent="0.25">
      <c r="C1017" s="30"/>
    </row>
    <row r="1018" spans="3:3" ht="16.5" customHeight="1" x14ac:dyDescent="0.25">
      <c r="C1018" s="30"/>
    </row>
    <row r="1019" spans="3:3" ht="16.5" customHeight="1" x14ac:dyDescent="0.25">
      <c r="C1019" s="30"/>
    </row>
    <row r="1020" spans="3:3" ht="16.5" customHeight="1" x14ac:dyDescent="0.25">
      <c r="C1020" s="30"/>
    </row>
    <row r="1021" spans="3:3" ht="16.5" customHeight="1" x14ac:dyDescent="0.25">
      <c r="C1021" s="30"/>
    </row>
    <row r="1022" spans="3:3" ht="16.5" customHeight="1" x14ac:dyDescent="0.25">
      <c r="C1022" s="30"/>
    </row>
    <row r="1023" spans="3:3" ht="16.5" customHeight="1" x14ac:dyDescent="0.25">
      <c r="C1023" s="30"/>
    </row>
    <row r="1024" spans="3:3" ht="16.5" customHeight="1" x14ac:dyDescent="0.25">
      <c r="C1024" s="30"/>
    </row>
    <row r="1025" spans="3:3" ht="16.5" customHeight="1" x14ac:dyDescent="0.25">
      <c r="C1025" s="30"/>
    </row>
    <row r="1026" spans="3:3" ht="16.5" customHeight="1" x14ac:dyDescent="0.25">
      <c r="C1026" s="30"/>
    </row>
    <row r="1027" spans="3:3" ht="16.5" customHeight="1" x14ac:dyDescent="0.25">
      <c r="C1027" s="30"/>
    </row>
    <row r="1028" spans="3:3" ht="16.5" customHeight="1" x14ac:dyDescent="0.25">
      <c r="C1028" s="30"/>
    </row>
    <row r="1029" spans="3:3" ht="16.5" customHeight="1" x14ac:dyDescent="0.25">
      <c r="C1029" s="30"/>
    </row>
    <row r="1030" spans="3:3" ht="16.5" customHeight="1" x14ac:dyDescent="0.25">
      <c r="C1030" s="30"/>
    </row>
    <row r="1031" spans="3:3" ht="16.5" customHeight="1" x14ac:dyDescent="0.25">
      <c r="C1031" s="30"/>
    </row>
    <row r="1032" spans="3:3" ht="16.5" customHeight="1" x14ac:dyDescent="0.25">
      <c r="C1032" s="30"/>
    </row>
    <row r="1033" spans="3:3" ht="16.5" customHeight="1" x14ac:dyDescent="0.25">
      <c r="C1033" s="30"/>
    </row>
    <row r="1034" spans="3:3" ht="16.5" customHeight="1" x14ac:dyDescent="0.25">
      <c r="C1034" s="30"/>
    </row>
    <row r="1035" spans="3:3" ht="16.5" customHeight="1" x14ac:dyDescent="0.25">
      <c r="C1035" s="30"/>
    </row>
    <row r="1036" spans="3:3" ht="16.5" customHeight="1" x14ac:dyDescent="0.25">
      <c r="C1036" s="30"/>
    </row>
    <row r="1037" spans="3:3" ht="16.5" customHeight="1" x14ac:dyDescent="0.25">
      <c r="C1037" s="30"/>
    </row>
    <row r="1038" spans="3:3" ht="16.5" customHeight="1" x14ac:dyDescent="0.25">
      <c r="C1038" s="30"/>
    </row>
    <row r="1039" spans="3:3" ht="16.5" customHeight="1" x14ac:dyDescent="0.25">
      <c r="C1039" s="30"/>
    </row>
    <row r="1040" spans="3:3" ht="16.5" customHeight="1" x14ac:dyDescent="0.25">
      <c r="C1040" s="30"/>
    </row>
    <row r="1041" spans="3:3" ht="16.5" customHeight="1" x14ac:dyDescent="0.25">
      <c r="C1041" s="30"/>
    </row>
    <row r="1042" spans="3:3" ht="16.5" customHeight="1" x14ac:dyDescent="0.25">
      <c r="C1042" s="30"/>
    </row>
    <row r="1043" spans="3:3" ht="16.5" customHeight="1" x14ac:dyDescent="0.25">
      <c r="C1043" s="30"/>
    </row>
    <row r="1044" spans="3:3" ht="16.5" customHeight="1" x14ac:dyDescent="0.25">
      <c r="C1044" s="30"/>
    </row>
    <row r="1045" spans="3:3" ht="16.5" customHeight="1" x14ac:dyDescent="0.25">
      <c r="C1045" s="30"/>
    </row>
    <row r="1046" spans="3:3" ht="16.5" customHeight="1" x14ac:dyDescent="0.25">
      <c r="C1046" s="30"/>
    </row>
    <row r="1047" spans="3:3" ht="16.5" customHeight="1" x14ac:dyDescent="0.25">
      <c r="C1047" s="30"/>
    </row>
    <row r="1048" spans="3:3" ht="16.5" customHeight="1" x14ac:dyDescent="0.25">
      <c r="C1048" s="30"/>
    </row>
    <row r="1049" spans="3:3" ht="16.5" customHeight="1" x14ac:dyDescent="0.25">
      <c r="C1049" s="30"/>
    </row>
    <row r="1050" spans="3:3" ht="16.5" customHeight="1" x14ac:dyDescent="0.25">
      <c r="C1050" s="30"/>
    </row>
    <row r="1051" spans="3:3" ht="16.5" customHeight="1" x14ac:dyDescent="0.25">
      <c r="C1051" s="30"/>
    </row>
    <row r="1052" spans="3:3" ht="16.5" customHeight="1" x14ac:dyDescent="0.25">
      <c r="C1052" s="30"/>
    </row>
    <row r="1053" spans="3:3" ht="16.5" customHeight="1" x14ac:dyDescent="0.25">
      <c r="C1053" s="30"/>
    </row>
    <row r="1054" spans="3:3" ht="16.5" customHeight="1" x14ac:dyDescent="0.25">
      <c r="C1054" s="30"/>
    </row>
    <row r="1055" spans="3:3" ht="16.5" customHeight="1" x14ac:dyDescent="0.25">
      <c r="C1055" s="30"/>
    </row>
    <row r="1056" spans="3:3" ht="16.5" customHeight="1" x14ac:dyDescent="0.25">
      <c r="C1056" s="30"/>
    </row>
    <row r="1057" spans="3:3" ht="16.5" customHeight="1" x14ac:dyDescent="0.25">
      <c r="C1057" s="30"/>
    </row>
    <row r="1058" spans="3:3" ht="16.5" customHeight="1" x14ac:dyDescent="0.25">
      <c r="C1058" s="30"/>
    </row>
    <row r="1059" spans="3:3" ht="16.5" customHeight="1" x14ac:dyDescent="0.25">
      <c r="C1059" s="30"/>
    </row>
    <row r="1060" spans="3:3" ht="16.5" customHeight="1" x14ac:dyDescent="0.25">
      <c r="C1060" s="30"/>
    </row>
    <row r="1061" spans="3:3" ht="16.5" customHeight="1" x14ac:dyDescent="0.25">
      <c r="C1061" s="30"/>
    </row>
    <row r="1062" spans="3:3" ht="16.5" customHeight="1" x14ac:dyDescent="0.25">
      <c r="C1062" s="30"/>
    </row>
    <row r="1063" spans="3:3" ht="16.5" customHeight="1" x14ac:dyDescent="0.25">
      <c r="C1063" s="30"/>
    </row>
    <row r="1064" spans="3:3" ht="16.5" customHeight="1" x14ac:dyDescent="0.25">
      <c r="C1064" s="30"/>
    </row>
    <row r="1065" spans="3:3" ht="16.5" customHeight="1" x14ac:dyDescent="0.25">
      <c r="C1065" s="30"/>
    </row>
    <row r="1066" spans="3:3" ht="16.5" customHeight="1" x14ac:dyDescent="0.25">
      <c r="C1066" s="30"/>
    </row>
    <row r="1067" spans="3:3" ht="16.5" customHeight="1" x14ac:dyDescent="0.25">
      <c r="C1067" s="30"/>
    </row>
    <row r="1068" spans="3:3" ht="16.5" customHeight="1" x14ac:dyDescent="0.25">
      <c r="C1068" s="30"/>
    </row>
    <row r="1069" spans="3:3" ht="16.5" customHeight="1" x14ac:dyDescent="0.25">
      <c r="C1069" s="30"/>
    </row>
    <row r="1070" spans="3:3" ht="16.5" customHeight="1" x14ac:dyDescent="0.25">
      <c r="C1070" s="30"/>
    </row>
    <row r="1071" spans="3:3" ht="16.5" customHeight="1" x14ac:dyDescent="0.25">
      <c r="C1071" s="30"/>
    </row>
    <row r="1072" spans="3:3" ht="16.5" customHeight="1" x14ac:dyDescent="0.25">
      <c r="C1072" s="30"/>
    </row>
    <row r="1073" spans="3:3" ht="16.5" customHeight="1" x14ac:dyDescent="0.25">
      <c r="C1073" s="30"/>
    </row>
    <row r="1074" spans="3:3" ht="16.5" customHeight="1" x14ac:dyDescent="0.25">
      <c r="C1074" s="30"/>
    </row>
    <row r="1075" spans="3:3" ht="16.5" customHeight="1" x14ac:dyDescent="0.25">
      <c r="C1075" s="30"/>
    </row>
    <row r="1076" spans="3:3" ht="16.5" customHeight="1" x14ac:dyDescent="0.25">
      <c r="C1076" s="30"/>
    </row>
    <row r="1077" spans="3:3" ht="16.5" customHeight="1" x14ac:dyDescent="0.25">
      <c r="C1077" s="30"/>
    </row>
    <row r="1078" spans="3:3" ht="16.5" customHeight="1" x14ac:dyDescent="0.25">
      <c r="C1078" s="30"/>
    </row>
    <row r="1079" spans="3:3" ht="16.5" customHeight="1" x14ac:dyDescent="0.25">
      <c r="C1079" s="30"/>
    </row>
    <row r="1080" spans="3:3" ht="16.5" customHeight="1" x14ac:dyDescent="0.25">
      <c r="C1080" s="30"/>
    </row>
    <row r="1081" spans="3:3" ht="16.5" customHeight="1" x14ac:dyDescent="0.25">
      <c r="C1081" s="30"/>
    </row>
    <row r="1082" spans="3:3" ht="16.5" customHeight="1" x14ac:dyDescent="0.25">
      <c r="C1082" s="30"/>
    </row>
    <row r="1083" spans="3:3" ht="16.5" customHeight="1" x14ac:dyDescent="0.25">
      <c r="C1083" s="30"/>
    </row>
    <row r="1084" spans="3:3" ht="16.5" customHeight="1" x14ac:dyDescent="0.25">
      <c r="C1084" s="30"/>
    </row>
    <row r="1085" spans="3:3" ht="16.5" customHeight="1" x14ac:dyDescent="0.25">
      <c r="C1085" s="30"/>
    </row>
    <row r="1086" spans="3:3" ht="16.5" customHeight="1" x14ac:dyDescent="0.25">
      <c r="C1086" s="30"/>
    </row>
    <row r="1087" spans="3:3" ht="16.5" customHeight="1" x14ac:dyDescent="0.25">
      <c r="C1087" s="30"/>
    </row>
    <row r="1088" spans="3:3" ht="16.5" customHeight="1" x14ac:dyDescent="0.25">
      <c r="C1088" s="30"/>
    </row>
    <row r="1089" spans="3:3" ht="16.5" customHeight="1" x14ac:dyDescent="0.25">
      <c r="C1089" s="30"/>
    </row>
    <row r="1090" spans="3:3" ht="16.5" customHeight="1" x14ac:dyDescent="0.25">
      <c r="C1090" s="30"/>
    </row>
    <row r="1091" spans="3:3" ht="16.5" customHeight="1" x14ac:dyDescent="0.25">
      <c r="C1091" s="30"/>
    </row>
    <row r="1092" spans="3:3" ht="16.5" customHeight="1" x14ac:dyDescent="0.25">
      <c r="C1092" s="30"/>
    </row>
    <row r="1093" spans="3:3" ht="16.5" customHeight="1" x14ac:dyDescent="0.25">
      <c r="C1093" s="30"/>
    </row>
    <row r="1094" spans="3:3" ht="16.5" customHeight="1" x14ac:dyDescent="0.25">
      <c r="C1094" s="30"/>
    </row>
    <row r="1095" spans="3:3" ht="16.5" customHeight="1" x14ac:dyDescent="0.25">
      <c r="C1095" s="30"/>
    </row>
    <row r="1096" spans="3:3" ht="16.5" customHeight="1" x14ac:dyDescent="0.25">
      <c r="C1096" s="30"/>
    </row>
    <row r="1097" spans="3:3" ht="16.5" customHeight="1" x14ac:dyDescent="0.25">
      <c r="C1097" s="30"/>
    </row>
    <row r="1098" spans="3:3" ht="16.5" customHeight="1" x14ac:dyDescent="0.25">
      <c r="C1098" s="30"/>
    </row>
    <row r="1099" spans="3:3" ht="16.5" customHeight="1" x14ac:dyDescent="0.25">
      <c r="C1099" s="30"/>
    </row>
    <row r="1100" spans="3:3" ht="16.5" customHeight="1" x14ac:dyDescent="0.25">
      <c r="C1100" s="30"/>
    </row>
  </sheetData>
  <conditionalFormatting sqref="B7:B1100">
    <cfRule type="expression" dxfId="3" priority="3" stopIfTrue="1">
      <formula>ROW()-ROW($B$7)&lt;ROWS(EmailLines)</formula>
    </cfRule>
  </conditionalFormatting>
  <conditionalFormatting sqref="C7:C1100">
    <cfRule type="expression" dxfId="2" priority="1" stopIfTrue="1">
      <formula>ROW()-ROW($C$7)=ROWS(EmailLines)</formula>
    </cfRule>
    <cfRule type="expression" dxfId="1" priority="2" stopIfTrue="1">
      <formula>ROW()-ROW($C$7)&gt;ROWS(EmailLines)</formula>
    </cfRule>
  </conditionalFormatting>
  <conditionalFormatting sqref="D7:D1100">
    <cfRule type="expression" dxfId="0" priority="4" stopIfTrue="1">
      <formula>ROW()-ROW($D$7)&lt;ROWS(EmailLines)</formula>
    </cfRule>
  </conditionalFormatting>
  <pageMargins left="0.75" right="0.75" top="1" bottom="1" header="0.5" footer="0.5"/>
  <pageSetup fitToHeight="0" orientation="landscape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A9384"/>
    <pageSetUpPr fitToPage="1"/>
  </sheetPr>
  <dimension ref="A1:L60"/>
  <sheetViews>
    <sheetView showGridLines="0" zoomScale="90" workbookViewId="0"/>
  </sheetViews>
  <sheetFormatPr defaultRowHeight="15" x14ac:dyDescent="0.25"/>
  <cols>
    <col min="1" max="1" width="3" customWidth="1"/>
    <col min="2" max="2" width="36" customWidth="1"/>
    <col min="3" max="3" width="26" customWidth="1"/>
    <col min="4" max="4" width="4" customWidth="1"/>
    <col min="5" max="5" width="18" customWidth="1"/>
    <col min="6" max="6" width="26" customWidth="1"/>
    <col min="7" max="7" width="4" customWidth="1"/>
    <col min="8" max="8" width="60" customWidth="1"/>
    <col min="10" max="11" width="13" hidden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6.25" x14ac:dyDescent="0.4">
      <c r="A2" s="1"/>
      <c r="B2" s="11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2" t="s">
        <v>79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23" t="s">
        <v>80</v>
      </c>
      <c r="C5" s="24" t="s">
        <v>81</v>
      </c>
      <c r="D5" s="1"/>
      <c r="E5" s="12" t="s">
        <v>18</v>
      </c>
      <c r="F5" s="12" t="s">
        <v>24</v>
      </c>
      <c r="G5" s="1"/>
      <c r="H5" s="1"/>
      <c r="I5" s="1"/>
      <c r="J5" s="1" t="s">
        <v>82</v>
      </c>
      <c r="K5" s="1" cm="1">
        <f t="array" ref="K5">INDEX({7,1,11,16},MATCH(WeekendName,{"Friday-Saturday","Saturday-Sunday","Sunday only","Friday only"},0))</f>
        <v>7</v>
      </c>
      <c r="L5" s="1"/>
    </row>
    <row r="6" spans="1:12" x14ac:dyDescent="0.25">
      <c r="A6" s="1"/>
      <c r="B6" s="23" t="s">
        <v>83</v>
      </c>
      <c r="C6" s="24" t="s">
        <v>39</v>
      </c>
      <c r="D6" s="1"/>
      <c r="E6" s="23" t="s">
        <v>37</v>
      </c>
      <c r="F6" s="23">
        <v>1</v>
      </c>
      <c r="G6" s="1"/>
      <c r="H6" s="1"/>
      <c r="I6" s="1"/>
      <c r="J6" s="1"/>
      <c r="K6" s="1"/>
      <c r="L6" s="1"/>
    </row>
    <row r="7" spans="1:12" x14ac:dyDescent="0.25">
      <c r="A7" s="1"/>
      <c r="B7" s="23" t="s">
        <v>84</v>
      </c>
      <c r="C7" s="25">
        <f ca="1">TODAY()</f>
        <v>46319</v>
      </c>
      <c r="D7" s="1"/>
      <c r="E7" s="23" t="s">
        <v>33</v>
      </c>
      <c r="F7" s="23">
        <v>3</v>
      </c>
      <c r="G7" s="1"/>
      <c r="H7" s="10" t="s">
        <v>110</v>
      </c>
      <c r="I7" s="1"/>
      <c r="J7" s="1"/>
      <c r="K7" s="1"/>
      <c r="L7" s="1"/>
    </row>
    <row r="8" spans="1:12" x14ac:dyDescent="0.25">
      <c r="A8" s="1"/>
      <c r="B8" s="23" t="s">
        <v>85</v>
      </c>
      <c r="C8" s="24" t="s">
        <v>86</v>
      </c>
      <c r="D8" s="1"/>
      <c r="E8" s="23" t="s">
        <v>40</v>
      </c>
      <c r="F8" s="23">
        <v>5</v>
      </c>
      <c r="G8" s="1"/>
      <c r="H8" s="10" t="s">
        <v>87</v>
      </c>
      <c r="I8" s="1"/>
      <c r="J8" s="1"/>
      <c r="K8" s="1"/>
      <c r="L8" s="1"/>
    </row>
    <row r="9" spans="1:12" x14ac:dyDescent="0.25">
      <c r="A9" s="1"/>
      <c r="B9" s="23" t="s">
        <v>88</v>
      </c>
      <c r="C9" s="24">
        <v>5</v>
      </c>
      <c r="D9" s="1"/>
      <c r="E9" s="35" t="s">
        <v>112</v>
      </c>
      <c r="F9" s="1"/>
      <c r="G9" s="1"/>
      <c r="H9" s="1"/>
      <c r="I9" s="1"/>
      <c r="J9" s="1"/>
      <c r="K9" s="1"/>
      <c r="L9" s="1"/>
    </row>
    <row r="10" spans="1:12" x14ac:dyDescent="0.25">
      <c r="A10" s="1"/>
      <c r="B10" s="23" t="s">
        <v>89</v>
      </c>
      <c r="C10" s="24">
        <v>9</v>
      </c>
      <c r="D10" s="1"/>
      <c r="E10" s="1"/>
      <c r="F10" s="1"/>
      <c r="G10" s="1"/>
      <c r="H10" s="10" t="s">
        <v>111</v>
      </c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2" t="s">
        <v>90</v>
      </c>
      <c r="C13" s="1"/>
      <c r="D13" s="1"/>
      <c r="E13" s="12" t="s">
        <v>91</v>
      </c>
      <c r="F13" s="12" t="s">
        <v>92</v>
      </c>
      <c r="G13" s="1"/>
      <c r="H13" s="1"/>
      <c r="I13" s="1"/>
      <c r="J13" s="1"/>
      <c r="K13" s="1"/>
      <c r="L13" s="1"/>
    </row>
    <row r="14" spans="1:12" x14ac:dyDescent="0.25">
      <c r="A14" s="1"/>
      <c r="B14" s="23" t="s">
        <v>39</v>
      </c>
      <c r="C14" s="1"/>
      <c r="D14" s="1"/>
      <c r="E14" s="26">
        <f>DATE(2026,9,23)</f>
        <v>46288</v>
      </c>
      <c r="F14" s="23" t="s">
        <v>93</v>
      </c>
      <c r="G14" s="1"/>
      <c r="H14" s="1"/>
      <c r="I14" s="1"/>
      <c r="J14" s="1"/>
      <c r="K14" s="1"/>
      <c r="L14" s="1"/>
    </row>
    <row r="15" spans="1:12" x14ac:dyDescent="0.25">
      <c r="A15" s="1"/>
      <c r="B15" s="23" t="s">
        <v>35</v>
      </c>
      <c r="C15" s="1"/>
      <c r="D15" s="1"/>
      <c r="E15" s="26">
        <f>DATE(2027,2,22)</f>
        <v>46440</v>
      </c>
      <c r="F15" s="23" t="s">
        <v>94</v>
      </c>
      <c r="G15" s="1"/>
      <c r="H15" s="1"/>
      <c r="I15" s="1"/>
      <c r="J15" s="1"/>
      <c r="K15" s="1"/>
      <c r="L15" s="1"/>
    </row>
    <row r="16" spans="1:12" x14ac:dyDescent="0.25">
      <c r="A16" s="1"/>
      <c r="B16" s="23" t="s">
        <v>43</v>
      </c>
      <c r="C16" s="1"/>
      <c r="D16" s="1"/>
      <c r="E16" s="26"/>
      <c r="F16" s="23"/>
      <c r="G16" s="1"/>
      <c r="H16" s="1"/>
      <c r="I16" s="1"/>
      <c r="J16" s="1"/>
      <c r="K16" s="1"/>
      <c r="L16" s="1"/>
    </row>
    <row r="17" spans="1:12" x14ac:dyDescent="0.25">
      <c r="A17" s="1"/>
      <c r="B17" s="23" t="s">
        <v>48</v>
      </c>
      <c r="C17" s="1"/>
      <c r="D17" s="1"/>
      <c r="E17" s="26"/>
      <c r="F17" s="23"/>
      <c r="G17" s="1"/>
      <c r="H17" s="1"/>
      <c r="I17" s="1"/>
      <c r="J17" s="1"/>
      <c r="K17" s="1"/>
      <c r="L17" s="1"/>
    </row>
    <row r="18" spans="1:12" x14ac:dyDescent="0.25">
      <c r="A18" s="1"/>
      <c r="B18" s="23" t="s">
        <v>31</v>
      </c>
      <c r="C18" s="1"/>
      <c r="D18" s="1"/>
      <c r="E18" s="26"/>
      <c r="F18" s="23"/>
      <c r="G18" s="1"/>
      <c r="H18" s="1"/>
      <c r="I18" s="1"/>
      <c r="J18" s="1"/>
      <c r="K18" s="1"/>
      <c r="L18" s="1"/>
    </row>
    <row r="19" spans="1:12" x14ac:dyDescent="0.25">
      <c r="A19" s="1"/>
      <c r="B19" s="23"/>
      <c r="C19" s="1"/>
      <c r="D19" s="1"/>
      <c r="E19" s="26"/>
      <c r="F19" s="23"/>
      <c r="G19" s="1"/>
      <c r="H19" s="1"/>
      <c r="I19" s="1"/>
      <c r="J19" s="1"/>
      <c r="K19" s="1"/>
      <c r="L19" s="1"/>
    </row>
    <row r="20" spans="1:12" x14ac:dyDescent="0.25">
      <c r="A20" s="1"/>
      <c r="B20" s="23"/>
      <c r="C20" s="1"/>
      <c r="D20" s="1"/>
      <c r="E20" s="26"/>
      <c r="F20" s="23"/>
      <c r="G20" s="1"/>
      <c r="H20" s="1"/>
      <c r="I20" s="1"/>
      <c r="J20" s="1"/>
      <c r="K20" s="1"/>
      <c r="L20" s="1"/>
    </row>
    <row r="21" spans="1:12" x14ac:dyDescent="0.25">
      <c r="A21" s="1"/>
      <c r="B21" s="23"/>
      <c r="C21" s="1"/>
      <c r="D21" s="1"/>
      <c r="E21" s="26"/>
      <c r="F21" s="23"/>
      <c r="G21" s="1"/>
      <c r="H21" s="1"/>
      <c r="I21" s="1"/>
      <c r="J21" s="1"/>
      <c r="K21" s="1"/>
      <c r="L21" s="1"/>
    </row>
    <row r="22" spans="1:12" x14ac:dyDescent="0.25">
      <c r="A22" s="1"/>
      <c r="B22" s="23"/>
      <c r="C22" s="1"/>
      <c r="D22" s="1"/>
      <c r="E22" s="26"/>
      <c r="F22" s="23"/>
      <c r="G22" s="1"/>
      <c r="H22" s="1"/>
      <c r="I22" s="1"/>
      <c r="J22" s="1"/>
      <c r="K22" s="1"/>
      <c r="L22" s="1"/>
    </row>
    <row r="23" spans="1:12" x14ac:dyDescent="0.25">
      <c r="A23" s="1"/>
      <c r="B23" s="23"/>
      <c r="C23" s="1"/>
      <c r="D23" s="1"/>
      <c r="E23" s="26"/>
      <c r="F23" s="23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26"/>
      <c r="F24" s="23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26"/>
      <c r="F25" s="23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26"/>
      <c r="F26" s="23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26"/>
      <c r="F27" s="23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8" t="s">
        <v>95</v>
      </c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7.25" x14ac:dyDescent="0.3">
      <c r="A31" s="1"/>
      <c r="B31" s="27" t="s">
        <v>96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28" t="s">
        <v>97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28" t="s">
        <v>98</v>
      </c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28" t="s">
        <v>99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28" t="s">
        <v>100</v>
      </c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28" t="s">
        <v>109</v>
      </c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8" t="s">
        <v>101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8" t="s">
        <v>102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dataValidations count="1">
    <dataValidation type="list" sqref="C8" xr:uid="{00000000-0002-0000-0400-000000000000}">
      <formula1>"Friday-Saturday,Saturday-Sunday,Sunday only,Friday only"</formula1>
    </dataValidation>
  </dataValidation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Overview</vt:lpstr>
      <vt:lpstr>Tasks</vt:lpstr>
      <vt:lpstr>Team</vt:lpstr>
      <vt:lpstr>Weekly Email</vt:lpstr>
      <vt:lpstr>Settings</vt:lpstr>
      <vt:lpstr>Capacity</vt:lpstr>
      <vt:lpstr>DueSoonDays</vt:lpstr>
      <vt:lpstr>EffortTable</vt:lpstr>
      <vt:lpstr>Holidays</vt:lpstr>
      <vt:lpstr>Members</vt:lpstr>
      <vt:lpstr>ReportDate</vt:lpstr>
      <vt:lpstr>Sender</vt:lpstr>
      <vt:lpstr>TeamName</vt:lpstr>
      <vt:lpstr>WeekendCode</vt:lpstr>
      <vt:lpstr>WeekendName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Task Tracker</dc:title>
  <dc:subject>Free Excel template</dc:subject>
  <dc:creator>Darwish Qannan</dc:creator>
  <dc:description>Free template by Darwish Qannan, darwishqannan.com</dc:description>
  <cp:lastModifiedBy>Darwish M.</cp:lastModifiedBy>
  <dcterms:created xsi:type="dcterms:W3CDTF">2026-10-18T19:34:24Z</dcterms:created>
  <dcterms:modified xsi:type="dcterms:W3CDTF">2026-10-24T20:45:31Z</dcterms:modified>
</cp:coreProperties>
</file>